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_5">'Bilanca'!$A$9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ahoma"/>
            <family val="2"/>
          </rPr>
          <t xml:space="preserve">Naputak:
</t>
        </r>
        <r>
          <rPr>
            <sz val="8"/>
            <color indexed="8"/>
            <rFont val="Tahoma"/>
            <family val="2"/>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9" authorId="0">
      <text>
        <r>
          <rPr>
            <b/>
            <sz val="8"/>
            <color indexed="8"/>
            <rFont val="Tahoma"/>
            <family val="2"/>
          </rPr>
          <t xml:space="preserve">Naputak:
</t>
        </r>
        <r>
          <rPr>
            <sz val="8"/>
            <color indexed="8"/>
            <rFont val="Tahoma"/>
            <family val="2"/>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ahoma"/>
            <family val="2"/>
          </rPr>
          <t xml:space="preserve">Uputa:
</t>
        </r>
        <r>
          <rPr>
            <sz val="8"/>
            <color indexed="8"/>
            <rFont val="Tahoma"/>
            <family val="2"/>
          </rPr>
          <t>Opis značenja svake šifre možete naći na radnom listu Sifre</t>
        </r>
      </text>
    </comment>
    <comment ref="F14"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ahoma"/>
            <family val="2"/>
          </rPr>
          <t xml:space="preserve">Naputak:
</t>
        </r>
        <r>
          <rPr>
            <sz val="8"/>
            <color indexed="8"/>
            <rFont val="Tahoma"/>
            <family val="2"/>
          </rPr>
          <t>Tvrtke registrirane u trgovačkom sudu upisuju matični broj suda (devet znamenaka), ostali ne upisuju ništa.</t>
        </r>
      </text>
    </comment>
    <comment ref="A23" authorId="0">
      <text>
        <r>
          <rPr>
            <b/>
            <sz val="8"/>
            <color indexed="8"/>
            <rFont val="Tahoma"/>
            <family val="2"/>
          </rPr>
          <t xml:space="preserve">Naputak:
</t>
        </r>
        <r>
          <rPr>
            <sz val="8"/>
            <color indexed="8"/>
            <rFont val="Tahoma"/>
            <family val="2"/>
          </rPr>
          <t>Od 1. siječnja 2010. godine upis OIB-a obvezan je za sve obveznike i za sve svrhe predaje.</t>
        </r>
      </text>
    </comment>
    <comment ref="A25"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H37"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ahoma"/>
            <family val="2"/>
          </rPr>
          <t xml:space="preserve">Uputa:
</t>
        </r>
        <r>
          <rPr>
            <sz val="8"/>
            <color indexed="8"/>
            <rFont val="Tahoma"/>
            <family val="2"/>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D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45"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3"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<sst xmlns="http://schemas.openxmlformats.org/spreadsheetml/2006/main" count="4926" uniqueCount="2987">
  <si>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</si>
  <si>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</si>
  <si>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</si>
  <si>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</si>
  <si>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</si>
  <si>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</si>
  <si>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</si>
  <si>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</si>
  <si>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</si>
  <si>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</si>
  <si>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</si>
  <si>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</si>
  <si>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</si>
  <si>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</si>
  <si>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</si>
  <si>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</si>
  <si>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</si>
  <si>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</si>
  <si>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</si>
  <si>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</si>
  <si>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</si>
  <si>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</si>
  <si>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</si>
  <si>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</si>
  <si>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</si>
  <si>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</si>
  <si>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</si>
  <si>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</si>
  <si>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</si>
  <si>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</si>
  <si>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</si>
  <si>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</si>
  <si>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</si>
  <si>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</si>
  <si>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</si>
  <si>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</si>
  <si>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</si>
  <si>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</si>
  <si>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</si>
  <si>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</si>
  <si>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</si>
  <si>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</si>
  <si>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</si>
  <si>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</si>
  <si>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</si>
  <si>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</si>
  <si>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</si>
  <si>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</si>
  <si>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</si>
  <si>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</si>
  <si>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</si>
  <si>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</si>
  <si>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</si>
  <si>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</si>
  <si>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</si>
  <si>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</si>
  <si>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</si>
  <si>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</si>
  <si>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</si>
  <si>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</si>
  <si>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</si>
  <si>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</si>
  <si>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</si>
  <si>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</si>
  <si>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</si>
  <si>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</si>
  <si>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</si>
  <si>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</si>
  <si>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</si>
  <si>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</si>
  <si>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</si>
  <si>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</si>
  <si>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</si>
  <si>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</si>
  <si>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</si>
  <si>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</si>
  <si>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</si>
  <si>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</si>
  <si>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</si>
  <si>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</si>
  <si>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</si>
  <si>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</si>
  <si>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</si>
  <si>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</si>
  <si>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</si>
  <si>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</si>
  <si>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</si>
  <si>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</si>
  <si>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</si>
  <si>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</si>
  <si>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</si>
  <si>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</si>
  <si>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</si>
  <si>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</si>
  <si>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</si>
  <si>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</si>
  <si>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</si>
  <si>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</si>
  <si>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</si>
  <si>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</si>
  <si>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</si>
  <si>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</si>
  <si>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</si>
  <si>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</si>
  <si>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</si>
  <si>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</si>
  <si>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</si>
  <si>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</si>
  <si>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</si>
  <si>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</si>
  <si>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</si>
  <si>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</si>
  <si>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</si>
  <si>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</si>
  <si>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</si>
  <si>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</si>
  <si>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</si>
  <si>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</si>
  <si>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</si>
  <si>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</si>
  <si>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</si>
  <si>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</si>
  <si>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</si>
  <si>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</si>
  <si>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</si>
  <si>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</si>
  <si>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</si>
  <si>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</si>
  <si>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</si>
  <si>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</si>
  <si>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</si>
  <si>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</si>
  <si>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</si>
  <si>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</si>
  <si>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</si>
  <si>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</si>
  <si>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</si>
  <si>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</si>
  <si>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</si>
  <si>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</si>
  <si>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</si>
  <si>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</si>
  <si>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</si>
  <si>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</si>
  <si>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</si>
  <si>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</si>
  <si>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</si>
  <si>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</si>
  <si>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</si>
  <si>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</si>
  <si>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</si>
  <si>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</si>
  <si>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</si>
  <si>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</si>
  <si>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</si>
  <si>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</si>
  <si>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</si>
  <si>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</si>
  <si>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</si>
  <si>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</si>
  <si>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</si>
  <si>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</si>
  <si>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</si>
  <si>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</si>
  <si>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</si>
  <si>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</si>
  <si>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</si>
  <si>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</si>
  <si>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</si>
  <si>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</si>
  <si>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</si>
  <si>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</si>
  <si>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</si>
  <si>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</si>
  <si>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</si>
  <si>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</si>
  <si>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</si>
  <si>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</si>
  <si>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</si>
  <si>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</si>
  <si>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</si>
  <si>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</si>
  <si>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</si>
  <si>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</si>
  <si>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</si>
  <si>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</si>
  <si>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</si>
  <si>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</si>
  <si>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</si>
  <si>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</si>
  <si>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</si>
  <si>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</si>
  <si>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</si>
  <si>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</si>
  <si>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</si>
  <si>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</si>
  <si>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</si>
  <si>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</si>
  <si>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</si>
  <si>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</si>
  <si>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</si>
  <si>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</si>
  <si>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</si>
  <si>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</si>
  <si>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</si>
  <si>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</si>
  <si>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</si>
  <si>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</si>
  <si>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</si>
  <si>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</si>
  <si>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</si>
  <si>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</si>
  <si>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</si>
  <si>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</si>
  <si>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</si>
  <si>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</si>
  <si>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</si>
  <si>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</si>
  <si>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</si>
  <si>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</si>
  <si>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</si>
  <si>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</si>
  <si>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</si>
  <si>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</si>
  <si>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</si>
  <si>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</si>
  <si>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</si>
  <si>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</si>
  <si>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</si>
  <si>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</si>
  <si>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</si>
  <si>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</si>
  <si>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</si>
  <si>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</si>
  <si>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</si>
  <si>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</si>
  <si>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</si>
  <si>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</si>
  <si>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</si>
  <si>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</si>
  <si>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</si>
  <si>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</si>
  <si>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</si>
  <si>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</si>
  <si>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</si>
  <si>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</si>
  <si>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</si>
  <si>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</si>
  <si>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</si>
  <si>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</si>
  <si>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</si>
  <si>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</si>
  <si>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</si>
  <si>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</si>
  <si>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</si>
  <si>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</si>
  <si>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</si>
  <si>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</si>
  <si>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</si>
  <si>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</si>
  <si>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</si>
  <si>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</si>
  <si>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</si>
  <si>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</si>
  <si>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</si>
  <si>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</si>
  <si>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</si>
  <si>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</si>
  <si>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</si>
  <si>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</si>
  <si>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</si>
  <si>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</si>
  <si>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</si>
  <si>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</si>
  <si>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</si>
  <si>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</si>
  <si>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</si>
  <si>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</si>
  <si>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</si>
  <si>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</si>
  <si>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</si>
  <si>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</si>
  <si>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</si>
  <si>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</si>
  <si>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</si>
  <si>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</si>
  <si>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</si>
  <si>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</si>
  <si>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</si>
  <si>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</si>
  <si>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</si>
  <si>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</si>
  <si>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</si>
  <si>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</si>
  <si>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</si>
  <si>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</si>
  <si>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</si>
  <si>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</si>
  <si>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</si>
  <si>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</si>
  <si>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</si>
  <si>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</si>
  <si>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</si>
  <si>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</si>
  <si>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</si>
  <si>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</si>
  <si>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</si>
  <si>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</si>
  <si>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</si>
  <si>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</si>
  <si>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03200426</t>
  </si>
  <si>
    <t>Matični broj suda (MBS):</t>
  </si>
  <si>
    <t>020032462</t>
  </si>
  <si>
    <t>Osobni identifikacijski broj (OIB):</t>
  </si>
  <si>
    <t>26211106548</t>
  </si>
  <si>
    <t>Naziv obveznika:</t>
  </si>
  <si>
    <t>STAMBENO KOMUNALNO GOSPODARSTVO D.O.O.</t>
  </si>
  <si>
    <t>Poštanski broj i mjesto:</t>
  </si>
  <si>
    <t>OGULIN</t>
  </si>
  <si>
    <t>OPC</t>
  </si>
  <si>
    <t>NAZIV_OPC</t>
  </si>
  <si>
    <t>ZUP</t>
  </si>
  <si>
    <t>NAZIV_ZUP</t>
  </si>
  <si>
    <t>SIF_VLASTI</t>
  </si>
  <si>
    <t>OPIS_VLASTI</t>
  </si>
  <si>
    <t>Ulica i kućni broj:</t>
  </si>
  <si>
    <t>IVANA GORANA KOVAČIĆA 8</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</si>
  <si>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</si>
  <si>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</si>
  <si>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</si>
  <si>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</si>
  <si>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</si>
  <si>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</si>
  <si>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</si>
  <si>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</si>
  <si>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</si>
  <si>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</si>
  <si>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</si>
  <si>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stambeno.komunalno.gospodarstvo@ka.t-com.hr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</si>
  <si>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</si>
  <si>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</si>
  <si>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</si>
  <si>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</si>
  <si>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</si>
  <si>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</si>
  <si>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</si>
  <si>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</si>
  <si>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</si>
  <si>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</si>
  <si>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</si>
  <si>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www.skg.ogulin</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</si>
  <si>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</si>
  <si>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</si>
  <si>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</si>
  <si>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</si>
  <si>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</si>
  <si>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</si>
  <si>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</si>
  <si>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</si>
  <si>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</si>
  <si>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</si>
  <si>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</si>
  <si>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</si>
  <si>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</si>
  <si>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</si>
  <si>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</si>
  <si>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</si>
  <si>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</si>
  <si>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</si>
  <si>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</si>
  <si>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</si>
  <si>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</si>
  <si>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</si>
  <si>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</si>
  <si>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</si>
  <si>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</si>
  <si>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</si>
  <si>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</si>
  <si>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</si>
  <si>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</si>
  <si>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</si>
  <si>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</si>
  <si>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</si>
  <si>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4110</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</si>
  <si>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</si>
  <si>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</si>
  <si>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</si>
  <si>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</si>
  <si>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</si>
  <si>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</si>
  <si>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</si>
  <si>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</si>
  <si>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</si>
  <si>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</si>
  <si>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</si>
  <si>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</si>
  <si>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</si>
  <si>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</si>
  <si>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</si>
  <si>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</si>
  <si>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</si>
  <si>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</si>
  <si>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</si>
  <si>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</si>
  <si>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</si>
  <si>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DA</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</si>
  <si>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</si>
  <si>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</si>
  <si>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</si>
  <si>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</si>
  <si>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</si>
  <si>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</si>
  <si>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</si>
  <si>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</si>
  <si>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</si>
  <si>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</si>
  <si>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</si>
  <si>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</si>
  <si>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</si>
  <si>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</si>
  <si>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</si>
  <si>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</si>
  <si>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</si>
  <si>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</si>
  <si>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</si>
  <si>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</si>
  <si>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</si>
  <si>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</si>
  <si>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</si>
  <si>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</si>
  <si>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</si>
  <si>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</si>
  <si>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</si>
  <si>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</si>
  <si>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</si>
  <si>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</si>
  <si>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</si>
  <si>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</si>
  <si>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</si>
  <si>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</si>
  <si>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</si>
  <si>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</si>
  <si>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</si>
  <si>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</si>
  <si>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</si>
  <si>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</si>
  <si>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</si>
  <si>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</si>
  <si>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</si>
  <si>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</si>
  <si>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</si>
  <si>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</si>
  <si>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</si>
  <si>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</si>
  <si>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</si>
  <si>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</si>
  <si>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</si>
  <si>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</si>
  <si>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</si>
  <si>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</si>
  <si>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</si>
  <si>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</si>
  <si>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</si>
  <si>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</si>
  <si>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</si>
  <si>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</si>
  <si>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</si>
  <si>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</si>
  <si>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</si>
  <si>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</si>
  <si>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</si>
  <si>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</si>
  <si>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</si>
  <si>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</si>
  <si>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</si>
  <si>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</si>
  <si>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</si>
  <si>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</si>
  <si>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</si>
  <si>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</si>
  <si>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</si>
  <si>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</si>
  <si>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</si>
  <si>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</si>
  <si>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</si>
  <si>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</si>
  <si>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</si>
  <si>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</si>
  <si>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</si>
  <si>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</si>
  <si>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</si>
  <si>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</si>
  <si>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</si>
  <si>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</si>
  <si>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</si>
  <si>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CINDRIĆ VESNA</t>
  </si>
  <si>
    <t>Brtonigla</t>
  </si>
  <si>
    <t>0311</t>
  </si>
  <si>
    <t>(unosi se samo prezime i ime osobe za kontakt)</t>
  </si>
  <si>
    <t>Budinščina</t>
  </si>
  <si>
    <t>0312</t>
  </si>
  <si>
    <t>Telefon:</t>
  </si>
  <si>
    <t>047-532-314</t>
  </si>
  <si>
    <t>Telefaks:</t>
  </si>
  <si>
    <t>047-811-488</t>
  </si>
  <si>
    <t>Buje</t>
  </si>
  <si>
    <t>0321</t>
  </si>
  <si>
    <t>Buzet</t>
  </si>
  <si>
    <t>0322</t>
  </si>
  <si>
    <t>vesna.cindric@skg-ogulin.hr</t>
  </si>
  <si>
    <t>Cerna</t>
  </si>
  <si>
    <t>0510</t>
  </si>
  <si>
    <t>Cernik</t>
  </si>
  <si>
    <t>0520</t>
  </si>
  <si>
    <t>Prezime i ime:</t>
  </si>
  <si>
    <t>SALOPEK IVICA</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</si>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</sst>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kn&quot;;[Red]\-#,##0.00&quot; kn&quot;"/>
    <numFmt numFmtId="165" formatCode="dd/mm/yyyy"/>
    <numFmt numFmtId="166" formatCode="000"/>
  </numFmts>
  <fonts count="97">
    <font>
      <sz val="10"/>
      <name val="Arial"/>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ahoma"/>
      <family val="2"/>
    </font>
    <font>
      <sz val="8"/>
      <color indexed="8"/>
      <name val="Tahoma"/>
      <family val="2"/>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medium">
        <color indexed="22"/>
      </top>
      <bottom style="thin">
        <color indexed="12"/>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9"/>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56"/>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4"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1" fillId="0" borderId="0">
      <alignment/>
      <protection/>
    </xf>
    <xf numFmtId="0" fontId="93" fillId="27" borderId="8" applyNumberFormat="0" applyAlignment="0" applyProtection="0"/>
    <xf numFmtId="9" fontId="0" fillId="0" borderId="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44">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0" fillId="0" borderId="10" xfId="0" applyFont="1" applyBorder="1" applyAlignment="1">
      <alignment/>
    </xf>
    <xf numFmtId="49"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0" fillId="0" borderId="11" xfId="0" applyFont="1" applyBorder="1" applyAlignment="1">
      <alignment/>
    </xf>
    <xf numFmtId="49"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0" xfId="0" applyNumberFormat="1" applyBorder="1" applyAlignment="1">
      <alignment/>
    </xf>
    <xf numFmtId="49" fontId="0" fillId="0" borderId="15" xfId="0" applyNumberFormat="1" applyBorder="1" applyAlignment="1">
      <alignment/>
    </xf>
    <xf numFmtId="3" fontId="0" fillId="0" borderId="15" xfId="0" applyNumberFormat="1" applyBorder="1" applyAlignment="1">
      <alignment/>
    </xf>
    <xf numFmtId="2"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0" fontId="3" fillId="33" borderId="18" xfId="53" applyNumberFormat="1" applyFont="1" applyFill="1" applyBorder="1" applyAlignment="1" applyProtection="1">
      <alignment horizontal="center" vertical="center" shrinkToFit="1"/>
      <protection/>
    </xf>
    <xf numFmtId="0" fontId="3" fillId="33" borderId="19" xfId="53" applyNumberFormat="1" applyFont="1" applyFill="1" applyBorder="1" applyAlignment="1" applyProtection="1">
      <alignment horizontal="center" vertical="center" shrinkToFit="1"/>
      <protection/>
    </xf>
    <xf numFmtId="0" fontId="5" fillId="33" borderId="19" xfId="53" applyNumberFormat="1" applyFont="1" applyFill="1" applyBorder="1" applyAlignment="1" applyProtection="1">
      <alignment horizontal="center" vertical="center" shrinkToFit="1"/>
      <protection/>
    </xf>
    <xf numFmtId="0" fontId="3" fillId="33" borderId="20" xfId="53" applyNumberFormat="1" applyFont="1" applyFill="1" applyBorder="1" applyAlignment="1" applyProtection="1">
      <alignment horizontal="center" vertical="center" shrinkToFit="1"/>
      <protection/>
    </xf>
    <xf numFmtId="0" fontId="6" fillId="33" borderId="21" xfId="53" applyNumberFormat="1" applyFont="1" applyFill="1" applyBorder="1" applyAlignment="1" applyProtection="1">
      <alignment horizontal="center" vertical="center" shrinkToFit="1"/>
      <protection/>
    </xf>
    <xf numFmtId="0" fontId="6" fillId="33" borderId="22" xfId="53" applyNumberFormat="1" applyFont="1" applyFill="1" applyBorder="1" applyAlignment="1" applyProtection="1">
      <alignment horizontal="center" vertical="center" shrinkToFit="1"/>
      <protection/>
    </xf>
    <xf numFmtId="0" fontId="7" fillId="33" borderId="22" xfId="53" applyNumberFormat="1" applyFont="1" applyFill="1" applyBorder="1" applyAlignment="1" applyProtection="1">
      <alignment horizontal="center" vertical="center" shrinkToFit="1"/>
      <protection/>
    </xf>
    <xf numFmtId="0" fontId="6" fillId="33" borderId="23" xfId="53" applyNumberFormat="1" applyFont="1" applyFill="1" applyBorder="1" applyAlignment="1" applyProtection="1">
      <alignment horizontal="center" vertical="center" shrinkToFit="1"/>
      <protection/>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0" borderId="0" xfId="0" applyAlignment="1" applyProtection="1">
      <alignment/>
      <protection hidden="1"/>
    </xf>
    <xf numFmtId="0" fontId="0" fillId="0" borderId="27" xfId="0" applyFont="1" applyBorder="1" applyAlignment="1" applyProtection="1">
      <alignment horizontal="center" vertical="center"/>
      <protection hidden="1"/>
    </xf>
    <xf numFmtId="164" fontId="9" fillId="0" borderId="28" xfId="0" applyNumberFormat="1" applyFont="1" applyBorder="1" applyAlignment="1" applyProtection="1">
      <alignment horizontal="right" vertical="center" wrapText="1"/>
      <protection hidden="1"/>
    </xf>
    <xf numFmtId="164" fontId="9" fillId="0" borderId="28" xfId="0" applyNumberFormat="1" applyFont="1" applyBorder="1" applyAlignment="1" applyProtection="1">
      <alignment horizontal="right" vertical="center"/>
      <protection hidden="1"/>
    </xf>
    <xf numFmtId="0" fontId="0" fillId="0" borderId="29" xfId="0" applyFont="1" applyBorder="1" applyAlignment="1" applyProtection="1">
      <alignment horizontal="center" vertical="center"/>
      <protection hidden="1"/>
    </xf>
    <xf numFmtId="164" fontId="9" fillId="0" borderId="30" xfId="0" applyNumberFormat="1" applyFont="1" applyBorder="1" applyAlignment="1" applyProtection="1">
      <alignment horizontal="right" vertical="center" wrapText="1"/>
      <protection hidden="1"/>
    </xf>
    <xf numFmtId="164" fontId="9" fillId="0" borderId="30" xfId="0" applyNumberFormat="1" applyFont="1" applyBorder="1" applyAlignment="1" applyProtection="1">
      <alignment horizontal="right" vertical="center"/>
      <protection hidden="1"/>
    </xf>
    <xf numFmtId="0" fontId="0" fillId="0" borderId="0" xfId="0" applyNumberFormat="1" applyAlignment="1">
      <alignment/>
    </xf>
    <xf numFmtId="0" fontId="0" fillId="0" borderId="31" xfId="0" applyFont="1" applyBorder="1" applyAlignment="1" applyProtection="1">
      <alignment horizontal="center" vertical="center"/>
      <protection hidden="1"/>
    </xf>
    <xf numFmtId="164" fontId="9" fillId="0" borderId="32" xfId="0" applyNumberFormat="1" applyFont="1" applyBorder="1" applyAlignment="1" applyProtection="1">
      <alignment horizontal="right" vertical="center" wrapText="1"/>
      <protection hidden="1"/>
    </xf>
    <xf numFmtId="164" fontId="9" fillId="0" borderId="32" xfId="0" applyNumberFormat="1" applyFont="1" applyBorder="1" applyAlignment="1" applyProtection="1">
      <alignment horizontal="right" vertical="center"/>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10" fillId="34" borderId="10" xfId="0" applyFont="1" applyFill="1" applyBorder="1" applyAlignment="1" applyProtection="1">
      <alignment horizontal="center" vertical="center"/>
      <protection locked="0"/>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5" fillId="0" borderId="0" xfId="0" applyFont="1" applyBorder="1" applyAlignment="1">
      <alignment horizontal="right"/>
    </xf>
    <xf numFmtId="0" fontId="17" fillId="0" borderId="0" xfId="0" applyFont="1" applyBorder="1" applyAlignment="1">
      <alignment horizontal="left" vertical="center" indent="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15" fillId="0" borderId="12" xfId="0" applyNumberFormat="1" applyFont="1" applyBorder="1" applyAlignment="1">
      <alignment horizontal="center"/>
    </xf>
    <xf numFmtId="0" fontId="0" fillId="0" borderId="0" xfId="0" applyAlignment="1">
      <alignment/>
    </xf>
    <xf numFmtId="4" fontId="18" fillId="0" borderId="0" xfId="0" applyNumberFormat="1" applyFont="1" applyBorder="1" applyAlignment="1">
      <alignment horizontal="center"/>
    </xf>
    <xf numFmtId="4" fontId="18" fillId="0" borderId="12" xfId="0" applyNumberFormat="1" applyFont="1" applyBorder="1" applyAlignment="1">
      <alignment horizontal="center"/>
    </xf>
    <xf numFmtId="0" fontId="15" fillId="0" borderId="0" xfId="0" applyFont="1" applyBorder="1" applyAlignment="1">
      <alignment horizontal="center" vertical="center"/>
    </xf>
    <xf numFmtId="0" fontId="17" fillId="0" borderId="0" xfId="0" applyFont="1" applyBorder="1" applyAlignment="1">
      <alignment vertical="center"/>
    </xf>
    <xf numFmtId="0" fontId="0" fillId="0" borderId="0" xfId="0" applyAlignment="1">
      <alignment vertical="center"/>
    </xf>
    <xf numFmtId="0" fontId="15" fillId="0" borderId="0" xfId="0" applyFont="1" applyAlignment="1">
      <alignment horizontal="left" indent="1"/>
    </xf>
    <xf numFmtId="0" fontId="15" fillId="0" borderId="11" xfId="0" applyFont="1" applyBorder="1" applyAlignment="1">
      <alignment horizontal="left" indent="1"/>
    </xf>
    <xf numFmtId="0" fontId="21" fillId="0" borderId="0" xfId="0" applyFont="1" applyFill="1" applyBorder="1" applyAlignment="1">
      <alignment vertical="center"/>
    </xf>
    <xf numFmtId="0" fontId="21" fillId="0" borderId="0" xfId="0" applyFont="1" applyAlignment="1">
      <alignment/>
    </xf>
    <xf numFmtId="0" fontId="33" fillId="0" borderId="0" xfId="0" applyFont="1" applyFill="1" applyBorder="1" applyAlignment="1" applyProtection="1">
      <alignment vertical="center"/>
      <protection hidden="1"/>
    </xf>
    <xf numFmtId="1" fontId="33" fillId="0" borderId="0" xfId="0" applyNumberFormat="1" applyFont="1" applyFill="1" applyBorder="1" applyAlignment="1" applyProtection="1">
      <alignment vertical="center"/>
      <protection hidden="1"/>
    </xf>
    <xf numFmtId="2" fontId="0" fillId="0" borderId="0" xfId="0" applyNumberFormat="1" applyAlignment="1">
      <alignment vertical="center"/>
    </xf>
    <xf numFmtId="49" fontId="21" fillId="0" borderId="0" xfId="0" applyNumberFormat="1" applyFont="1" applyFill="1" applyBorder="1" applyAlignment="1">
      <alignment vertical="center"/>
    </xf>
    <xf numFmtId="0" fontId="2" fillId="0" borderId="24" xfId="0" applyFont="1" applyFill="1" applyBorder="1" applyAlignment="1" applyProtection="1">
      <alignment horizontal="center" vertical="center" wrapText="1"/>
      <protection hidden="1"/>
    </xf>
    <xf numFmtId="0" fontId="33" fillId="0" borderId="25" xfId="0" applyFont="1" applyFill="1" applyBorder="1" applyAlignment="1" applyProtection="1">
      <alignment horizontal="center" vertical="center"/>
      <protection hidden="1"/>
    </xf>
    <xf numFmtId="0" fontId="33" fillId="0" borderId="25"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1" fillId="0" borderId="0" xfId="0" applyFont="1" applyFill="1" applyBorder="1" applyAlignment="1" applyProtection="1">
      <alignment horizontal="center" vertical="center"/>
      <protection hidden="1"/>
    </xf>
    <xf numFmtId="0" fontId="34" fillId="34" borderId="17" xfId="0" applyFont="1" applyFill="1" applyBorder="1" applyAlignment="1" applyProtection="1">
      <alignment horizontal="center" vertical="center"/>
      <protection locked="0"/>
    </xf>
    <xf numFmtId="0" fontId="0" fillId="0" borderId="15" xfId="0" applyBorder="1" applyAlignment="1" applyProtection="1">
      <alignment horizontal="right"/>
      <protection hidden="1"/>
    </xf>
    <xf numFmtId="0" fontId="36" fillId="0" borderId="15" xfId="0" applyFont="1" applyBorder="1" applyAlignment="1" applyProtection="1">
      <alignment horizontal="right"/>
      <protection hidden="1"/>
    </xf>
    <xf numFmtId="0" fontId="36" fillId="0" borderId="15" xfId="0" applyFont="1" applyBorder="1" applyAlignment="1" applyProtection="1">
      <alignment/>
      <protection hidden="1"/>
    </xf>
    <xf numFmtId="0" fontId="36" fillId="0" borderId="15" xfId="0" applyFont="1" applyBorder="1" applyAlignment="1" applyProtection="1">
      <alignment horizontal="left"/>
      <protection hidden="1"/>
    </xf>
    <xf numFmtId="0" fontId="0" fillId="0" borderId="15" xfId="0" applyBorder="1" applyAlignment="1" applyProtection="1">
      <alignment/>
      <protection hidden="1"/>
    </xf>
    <xf numFmtId="0" fontId="36" fillId="0" borderId="0" xfId="0" applyFont="1" applyAlignment="1" applyProtection="1">
      <alignment horizontal="right"/>
      <protection hidden="1"/>
    </xf>
    <xf numFmtId="0" fontId="36" fillId="0" borderId="0" xfId="0" applyFont="1" applyBorder="1" applyAlignment="1" applyProtection="1">
      <alignment/>
      <protection hidden="1"/>
    </xf>
    <xf numFmtId="0" fontId="36" fillId="0" borderId="0" xfId="0" applyFont="1" applyAlignment="1" applyProtection="1">
      <alignment horizontal="left"/>
      <protection hidden="1"/>
    </xf>
    <xf numFmtId="0" fontId="22" fillId="0" borderId="0" xfId="0" applyFont="1" applyAlignment="1" applyProtection="1">
      <alignment vertical="top"/>
      <protection hidden="1"/>
    </xf>
    <xf numFmtId="0" fontId="37" fillId="0" borderId="0" xfId="0" applyFont="1" applyAlignment="1" applyProtection="1">
      <alignment vertical="top"/>
      <protection hidden="1"/>
    </xf>
    <xf numFmtId="0" fontId="0" fillId="0" borderId="0" xfId="0" applyAlignment="1" applyProtection="1">
      <alignment/>
      <protection hidden="1"/>
    </xf>
    <xf numFmtId="0" fontId="39"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1" fontId="39" fillId="34" borderId="17" xfId="0" applyNumberFormat="1" applyFont="1" applyFill="1" applyBorder="1" applyAlignment="1" applyProtection="1">
      <alignment horizontal="right" vertical="center" shrinkToFit="1"/>
      <protection locked="0"/>
    </xf>
    <xf numFmtId="0" fontId="0" fillId="0" borderId="0" xfId="0" applyNumberFormat="1" applyBorder="1" applyAlignment="1" applyProtection="1">
      <alignment/>
      <protection hidden="1"/>
    </xf>
    <xf numFmtId="0" fontId="36" fillId="0" borderId="0" xfId="0" applyFont="1" applyBorder="1" applyAlignment="1" applyProtection="1">
      <alignment horizontal="right"/>
      <protection hidden="1"/>
    </xf>
    <xf numFmtId="3" fontId="34" fillId="34" borderId="17" xfId="0" applyNumberFormat="1" applyFont="1" applyFill="1" applyBorder="1" applyAlignment="1" applyProtection="1">
      <alignment horizontal="center" vertical="center"/>
      <protection locked="0"/>
    </xf>
    <xf numFmtId="0" fontId="21" fillId="0" borderId="0" xfId="0" applyFont="1" applyBorder="1" applyAlignment="1" applyProtection="1">
      <alignment vertical="top"/>
      <protection hidden="1"/>
    </xf>
    <xf numFmtId="49" fontId="34" fillId="34" borderId="17"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0" fillId="0" borderId="0" xfId="0" applyBorder="1" applyAlignment="1" applyProtection="1">
      <alignment horizontal="left"/>
      <protection hidden="1"/>
    </xf>
    <xf numFmtId="0" fontId="42" fillId="0" borderId="0" xfId="0" applyFont="1" applyBorder="1" applyAlignment="1" applyProtection="1">
      <alignment vertical="top"/>
      <protection hidden="1"/>
    </xf>
    <xf numFmtId="1" fontId="34" fillId="34" borderId="17" xfId="0" applyNumberFormat="1" applyFont="1" applyFill="1" applyBorder="1" applyAlignment="1" applyProtection="1">
      <alignment horizontal="center" vertical="center"/>
      <protection locked="0"/>
    </xf>
    <xf numFmtId="0" fontId="0" fillId="0" borderId="0" xfId="0" applyFont="1" applyAlignment="1">
      <alignment horizontal="right"/>
    </xf>
    <xf numFmtId="1" fontId="34" fillId="0" borderId="17"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21" fillId="0" borderId="0" xfId="0" applyFont="1" applyBorder="1" applyAlignment="1" applyProtection="1">
      <alignment horizontal="right"/>
      <protection hidden="1"/>
    </xf>
    <xf numFmtId="0" fontId="46" fillId="0" borderId="33" xfId="0" applyFont="1" applyBorder="1" applyAlignment="1" applyProtection="1">
      <alignment horizontal="center" vertical="center"/>
      <protection hidden="1" locked="0"/>
    </xf>
    <xf numFmtId="0" fontId="34" fillId="34" borderId="17" xfId="0" applyFont="1" applyFill="1" applyBorder="1" applyAlignment="1" applyProtection="1">
      <alignment horizontal="right" vertical="center"/>
      <protection locked="0"/>
    </xf>
    <xf numFmtId="0" fontId="42" fillId="0" borderId="0" xfId="0" applyFont="1" applyBorder="1" applyAlignment="1" applyProtection="1">
      <alignment horizontal="left" vertical="top"/>
      <protection hidden="1"/>
    </xf>
    <xf numFmtId="0" fontId="34" fillId="34" borderId="14" xfId="0" applyFont="1" applyFill="1" applyBorder="1" applyAlignment="1" applyProtection="1">
      <alignment horizontal="right" vertical="center"/>
      <protection locked="0"/>
    </xf>
    <xf numFmtId="0" fontId="0" fillId="0" borderId="0" xfId="0" applyAlignment="1" applyProtection="1">
      <alignment horizontal="right" vertical="top" wrapText="1"/>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horizontal="right" vertical="top"/>
      <protection hidden="1"/>
    </xf>
    <xf numFmtId="0" fontId="27" fillId="0" borderId="0" xfId="0" applyFont="1" applyBorder="1" applyAlignment="1" applyProtection="1">
      <alignment horizontal="right" vertical="center"/>
      <protection hidden="1"/>
    </xf>
    <xf numFmtId="0" fontId="42" fillId="0" borderId="0" xfId="0" applyFont="1" applyAlignment="1" applyProtection="1">
      <alignment vertical="top"/>
      <protection hidden="1"/>
    </xf>
    <xf numFmtId="0" fontId="21" fillId="0" borderId="0" xfId="0" applyFont="1" applyAlignment="1" applyProtection="1">
      <alignment horizontal="right" vertical="center"/>
      <protection hidden="1"/>
    </xf>
    <xf numFmtId="49" fontId="3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0" fillId="0" borderId="0" xfId="0" applyFill="1" applyBorder="1" applyAlignment="1" applyProtection="1">
      <alignment vertical="center"/>
      <protection hidden="1"/>
    </xf>
    <xf numFmtId="0" fontId="24" fillId="0" borderId="0" xfId="0" applyFont="1" applyAlignment="1" applyProtection="1">
      <alignment vertical="center"/>
      <protection hidden="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1" fillId="0" borderId="11" xfId="0" applyFont="1" applyFill="1" applyBorder="1" applyAlignment="1">
      <alignment vertical="center"/>
    </xf>
    <xf numFmtId="3" fontId="21" fillId="0" borderId="0" xfId="0" applyNumberFormat="1" applyFont="1" applyFill="1" applyBorder="1" applyAlignment="1">
      <alignment vertical="center"/>
    </xf>
    <xf numFmtId="0" fontId="34" fillId="0" borderId="14" xfId="0" applyFont="1" applyFill="1"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6" fillId="35" borderId="34" xfId="0" applyFont="1" applyFill="1" applyBorder="1" applyAlignment="1" applyProtection="1">
      <alignment horizontal="center" vertical="center" wrapText="1"/>
      <protection hidden="1"/>
    </xf>
    <xf numFmtId="0" fontId="51" fillId="35" borderId="35" xfId="0" applyFont="1" applyFill="1" applyBorder="1" applyAlignment="1" applyProtection="1">
      <alignment horizontal="center" vertical="center" wrapText="1"/>
      <protection hidden="1"/>
    </xf>
    <xf numFmtId="0" fontId="51" fillId="35" borderId="34"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protection hidden="1"/>
    </xf>
    <xf numFmtId="166" fontId="28" fillId="0" borderId="37" xfId="0" applyNumberFormat="1" applyFont="1" applyFill="1" applyBorder="1" applyAlignment="1">
      <alignment horizontal="center" vertical="center"/>
    </xf>
    <xf numFmtId="49" fontId="28" fillId="0" borderId="37" xfId="0" applyNumberFormat="1" applyFont="1" applyFill="1" applyBorder="1" applyAlignment="1" applyProtection="1">
      <alignment vertical="center"/>
      <protection locked="0"/>
    </xf>
    <xf numFmtId="3" fontId="21" fillId="0" borderId="38" xfId="0" applyNumberFormat="1" applyFont="1" applyFill="1" applyBorder="1" applyAlignment="1" applyProtection="1">
      <alignment vertical="center"/>
      <protection locked="0"/>
    </xf>
    <xf numFmtId="166" fontId="28" fillId="0" borderId="39" xfId="0" applyNumberFormat="1" applyFont="1" applyFill="1" applyBorder="1" applyAlignment="1">
      <alignment horizontal="center" vertical="center"/>
    </xf>
    <xf numFmtId="49" fontId="28" fillId="0" borderId="39" xfId="0" applyNumberFormat="1" applyFont="1" applyFill="1" applyBorder="1" applyAlignment="1" applyProtection="1">
      <alignment vertical="center"/>
      <protection locked="0"/>
    </xf>
    <xf numFmtId="3" fontId="21" fillId="34" borderId="39" xfId="0" applyNumberFormat="1" applyFont="1" applyFill="1" applyBorder="1" applyAlignment="1" applyProtection="1">
      <alignment vertical="center"/>
      <protection hidden="1"/>
    </xf>
    <xf numFmtId="3" fontId="21" fillId="0" borderId="39" xfId="0" applyNumberFormat="1" applyFont="1" applyFill="1" applyBorder="1" applyAlignment="1" applyProtection="1">
      <alignment vertical="center"/>
      <protection locked="0"/>
    </xf>
    <xf numFmtId="166" fontId="28" fillId="0" borderId="40" xfId="0" applyNumberFormat="1" applyFont="1" applyFill="1" applyBorder="1" applyAlignment="1">
      <alignment horizontal="center" vertical="center"/>
    </xf>
    <xf numFmtId="49" fontId="28" fillId="0" borderId="40" xfId="0" applyNumberFormat="1" applyFont="1" applyFill="1" applyBorder="1" applyAlignment="1" applyProtection="1">
      <alignment vertical="center"/>
      <protection locked="0"/>
    </xf>
    <xf numFmtId="3" fontId="21" fillId="0" borderId="41" xfId="0" applyNumberFormat="1" applyFont="1" applyFill="1" applyBorder="1" applyAlignment="1" applyProtection="1">
      <alignment vertical="center"/>
      <protection locked="0"/>
    </xf>
    <xf numFmtId="3" fontId="21" fillId="34" borderId="38" xfId="0" applyNumberFormat="1" applyFont="1" applyFill="1" applyBorder="1" applyAlignment="1" applyProtection="1">
      <alignment vertical="center"/>
      <protection hidden="1"/>
    </xf>
    <xf numFmtId="166" fontId="52" fillId="0" borderId="39" xfId="0" applyNumberFormat="1" applyFont="1" applyFill="1" applyBorder="1" applyAlignment="1">
      <alignment horizontal="center" vertical="center"/>
    </xf>
    <xf numFmtId="49" fontId="28" fillId="0" borderId="42" xfId="0" applyNumberFormat="1" applyFont="1" applyFill="1" applyBorder="1" applyAlignment="1" applyProtection="1">
      <alignment vertical="center"/>
      <protection locked="0"/>
    </xf>
    <xf numFmtId="166" fontId="52" fillId="0" borderId="41" xfId="0" applyNumberFormat="1" applyFont="1" applyFill="1" applyBorder="1" applyAlignment="1">
      <alignment horizontal="center" vertical="center"/>
    </xf>
    <xf numFmtId="49" fontId="28" fillId="0" borderId="43" xfId="0" applyNumberFormat="1" applyFont="1" applyFill="1" applyBorder="1" applyAlignment="1" applyProtection="1">
      <alignment vertical="center"/>
      <protection locked="0"/>
    </xf>
    <xf numFmtId="0" fontId="0" fillId="0" borderId="0" xfId="0" applyFill="1" applyBorder="1" applyAlignment="1">
      <alignment/>
    </xf>
    <xf numFmtId="0" fontId="34" fillId="0" borderId="0" xfId="0" applyFont="1" applyFill="1" applyBorder="1" applyAlignment="1" applyProtection="1">
      <alignment horizontal="center" vertical="top" wrapText="1"/>
      <protection hidden="1"/>
    </xf>
    <xf numFmtId="0" fontId="56"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center" wrapText="1"/>
      <protection hidden="1"/>
    </xf>
    <xf numFmtId="3" fontId="21" fillId="34" borderId="41" xfId="0" applyNumberFormat="1" applyFont="1" applyFill="1" applyBorder="1" applyAlignment="1" applyProtection="1">
      <alignment vertical="center"/>
      <protection hidden="1"/>
    </xf>
    <xf numFmtId="166" fontId="28" fillId="0" borderId="38" xfId="0" applyNumberFormat="1" applyFont="1" applyFill="1" applyBorder="1" applyAlignment="1">
      <alignment horizontal="center" vertical="center"/>
    </xf>
    <xf numFmtId="49" fontId="28" fillId="0" borderId="38" xfId="0" applyNumberFormat="1" applyFont="1" applyFill="1" applyBorder="1" applyAlignment="1" applyProtection="1">
      <alignment vertical="center"/>
      <protection locked="0"/>
    </xf>
    <xf numFmtId="49" fontId="28" fillId="0" borderId="41" xfId="0" applyNumberFormat="1" applyFont="1" applyFill="1" applyBorder="1" applyAlignment="1" applyProtection="1">
      <alignment vertical="center"/>
      <protection locked="0"/>
    </xf>
    <xf numFmtId="0" fontId="34" fillId="0" borderId="14" xfId="0" applyFont="1" applyFill="1" applyBorder="1" applyAlignment="1">
      <alignment horizontal="center" vertical="top" wrapText="1"/>
    </xf>
    <xf numFmtId="0" fontId="56" fillId="0" borderId="15" xfId="0" applyFont="1" applyBorder="1" applyAlignment="1">
      <alignment horizontal="center" vertical="top" wrapText="1"/>
    </xf>
    <xf numFmtId="0" fontId="0" fillId="0" borderId="15" xfId="0" applyBorder="1" applyAlignment="1">
      <alignment horizontal="center" wrapText="1"/>
    </xf>
    <xf numFmtId="0" fontId="44" fillId="36" borderId="0"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51" fillId="35" borderId="34" xfId="0" applyFont="1" applyFill="1" applyBorder="1" applyAlignment="1">
      <alignment horizontal="center" vertical="center" wrapText="1"/>
    </xf>
    <xf numFmtId="0" fontId="51" fillId="35" borderId="36" xfId="0" applyFont="1" applyFill="1" applyBorder="1" applyAlignment="1">
      <alignment horizontal="center" vertical="center" wrapText="1"/>
    </xf>
    <xf numFmtId="0" fontId="51" fillId="35" borderId="36" xfId="0" applyFont="1" applyFill="1" applyBorder="1" applyAlignment="1">
      <alignment horizontal="center" vertical="center"/>
    </xf>
    <xf numFmtId="0" fontId="57" fillId="0" borderId="0" xfId="0" applyFont="1" applyFill="1" applyBorder="1" applyAlignment="1">
      <alignment vertical="center"/>
    </xf>
    <xf numFmtId="166" fontId="28" fillId="0" borderId="41" xfId="0" applyNumberFormat="1" applyFont="1" applyFill="1" applyBorder="1" applyAlignment="1">
      <alignment horizontal="center" vertical="center"/>
    </xf>
    <xf numFmtId="0" fontId="34" fillId="0" borderId="0" xfId="0" applyFont="1" applyFill="1" applyBorder="1" applyAlignment="1">
      <alignment horizontal="center" vertical="top" wrapText="1"/>
    </xf>
    <xf numFmtId="0" fontId="34" fillId="0" borderId="15" xfId="0" applyFont="1" applyFill="1" applyBorder="1" applyAlignment="1">
      <alignment horizontal="center" vertical="top" wrapText="1"/>
    </xf>
    <xf numFmtId="49" fontId="51" fillId="35" borderId="36" xfId="0" applyNumberFormat="1" applyFont="1" applyFill="1" applyBorder="1" applyAlignment="1" applyProtection="1">
      <alignment horizontal="center" vertical="center"/>
      <protection hidden="1"/>
    </xf>
    <xf numFmtId="49" fontId="51" fillId="35" borderId="36" xfId="0" applyNumberFormat="1" applyFont="1" applyFill="1" applyBorder="1" applyAlignment="1">
      <alignment horizontal="center" vertical="center" wrapText="1"/>
    </xf>
    <xf numFmtId="49" fontId="28" fillId="0" borderId="42" xfId="0" applyNumberFormat="1" applyFont="1" applyFill="1" applyBorder="1" applyAlignment="1" applyProtection="1">
      <alignment horizontal="center" vertical="center"/>
      <protection hidden="1" locked="0"/>
    </xf>
    <xf numFmtId="3" fontId="21" fillId="0" borderId="42" xfId="0" applyNumberFormat="1" applyFont="1" applyFill="1" applyBorder="1" applyAlignment="1" applyProtection="1">
      <alignment vertical="center"/>
      <protection locked="0"/>
    </xf>
    <xf numFmtId="3" fontId="21" fillId="34" borderId="42" xfId="0" applyNumberFormat="1" applyFont="1" applyFill="1" applyBorder="1" applyAlignment="1" applyProtection="1">
      <alignment vertical="center"/>
      <protection hidden="1"/>
    </xf>
    <xf numFmtId="49" fontId="28" fillId="0" borderId="43" xfId="0" applyNumberFormat="1" applyFont="1" applyFill="1" applyBorder="1" applyAlignment="1" applyProtection="1">
      <alignment horizontal="center" vertical="center"/>
      <protection hidden="1" locked="0"/>
    </xf>
    <xf numFmtId="3" fontId="21" fillId="34" borderId="43" xfId="0" applyNumberFormat="1" applyFont="1" applyFill="1" applyBorder="1" applyAlignment="1" applyProtection="1">
      <alignment vertical="center"/>
      <protection hidden="1"/>
    </xf>
    <xf numFmtId="0" fontId="56" fillId="0" borderId="0" xfId="0" applyFont="1" applyBorder="1" applyAlignment="1">
      <alignment horizontal="center" vertical="top" wrapText="1"/>
    </xf>
    <xf numFmtId="0" fontId="0" fillId="0" borderId="0" xfId="0" applyBorder="1" applyAlignment="1">
      <alignment horizontal="center" wrapText="1"/>
    </xf>
    <xf numFmtId="0" fontId="29" fillId="0" borderId="0" xfId="0" applyFont="1" applyAlignment="1">
      <alignment/>
    </xf>
    <xf numFmtId="0" fontId="51" fillId="35" borderId="34" xfId="0" applyFont="1" applyFill="1" applyBorder="1" applyAlignment="1">
      <alignment horizontal="center" vertical="center"/>
    </xf>
    <xf numFmtId="0" fontId="51" fillId="35" borderId="44" xfId="0" applyFont="1" applyFill="1" applyBorder="1" applyAlignment="1">
      <alignment horizontal="center" vertical="center"/>
    </xf>
    <xf numFmtId="0" fontId="2" fillId="0" borderId="14" xfId="0" applyFont="1" applyBorder="1" applyAlignment="1">
      <alignment horizontal="right" indent="1"/>
    </xf>
    <xf numFmtId="1" fontId="0" fillId="0" borderId="45" xfId="0" applyNumberFormat="1" applyBorder="1" applyAlignment="1" applyProtection="1">
      <alignment/>
      <protection locked="0"/>
    </xf>
    <xf numFmtId="0" fontId="2" fillId="0" borderId="46" xfId="0" applyFont="1" applyBorder="1" applyAlignment="1">
      <alignment horizontal="right" indent="1"/>
    </xf>
    <xf numFmtId="1" fontId="0" fillId="0" borderId="47" xfId="0" applyNumberFormat="1" applyBorder="1" applyAlignment="1" applyProtection="1">
      <alignment/>
      <protection locked="0"/>
    </xf>
    <xf numFmtId="0" fontId="0" fillId="0" borderId="0" xfId="0" applyAlignment="1">
      <alignment wrapText="1"/>
    </xf>
    <xf numFmtId="0" fontId="7" fillId="35" borderId="10" xfId="0" applyFont="1" applyFill="1" applyBorder="1" applyAlignment="1" applyProtection="1">
      <alignment horizontal="right" vertical="center"/>
      <protection hidden="1"/>
    </xf>
    <xf numFmtId="0" fontId="28" fillId="37" borderId="10" xfId="0" applyFont="1" applyFill="1" applyBorder="1" applyAlignment="1" applyProtection="1">
      <alignment horizontal="center" vertical="center" wrapText="1"/>
      <protection hidden="1"/>
    </xf>
    <xf numFmtId="0" fontId="0" fillId="0" borderId="0" xfId="0" applyFill="1" applyAlignment="1">
      <alignment wrapText="1"/>
    </xf>
    <xf numFmtId="3" fontId="0" fillId="0" borderId="0" xfId="0" applyNumberFormat="1" applyAlignment="1">
      <alignment/>
    </xf>
    <xf numFmtId="3" fontId="0" fillId="0" borderId="0" xfId="0" applyNumberFormat="1" applyFill="1" applyAlignment="1">
      <alignment wrapText="1"/>
    </xf>
    <xf numFmtId="3" fontId="0" fillId="0" borderId="0" xfId="0" applyNumberFormat="1" applyFill="1" applyAlignment="1">
      <alignment/>
    </xf>
    <xf numFmtId="0" fontId="58" fillId="0" borderId="0" xfId="0" applyFont="1" applyAlignment="1">
      <alignment/>
    </xf>
    <xf numFmtId="1" fontId="0" fillId="0" borderId="0" xfId="0" applyNumberFormat="1" applyAlignment="1">
      <alignment wrapText="1"/>
    </xf>
    <xf numFmtId="0" fontId="0" fillId="0" borderId="0" xfId="0" applyAlignment="1">
      <alignment horizontal="center" vertical="center" wrapText="1"/>
    </xf>
    <xf numFmtId="0" fontId="0" fillId="38" borderId="0" xfId="0" applyFill="1" applyAlignment="1">
      <alignment horizontal="center" vertical="center" wrapText="1"/>
    </xf>
    <xf numFmtId="0" fontId="0" fillId="39" borderId="0" xfId="0" applyFill="1" applyAlignment="1">
      <alignment horizontal="center" vertical="center" wrapText="1"/>
    </xf>
    <xf numFmtId="0" fontId="0" fillId="38" borderId="46" xfId="0" applyFont="1" applyFill="1" applyBorder="1" applyAlignment="1">
      <alignment vertical="center"/>
    </xf>
    <xf numFmtId="0" fontId="0" fillId="38" borderId="48" xfId="0" applyFill="1" applyBorder="1" applyAlignment="1">
      <alignment horizontal="center" vertical="center"/>
    </xf>
    <xf numFmtId="0" fontId="0" fillId="38" borderId="49" xfId="0" applyFill="1" applyBorder="1" applyAlignment="1">
      <alignment horizontal="center" vertical="center"/>
    </xf>
    <xf numFmtId="0" fontId="0" fillId="39" borderId="46" xfId="0" applyFont="1" applyFill="1" applyBorder="1" applyAlignment="1">
      <alignment vertical="center"/>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wrapText="1"/>
    </xf>
    <xf numFmtId="0" fontId="0" fillId="40" borderId="0" xfId="0" applyFill="1" applyAlignment="1">
      <alignment wrapText="1"/>
    </xf>
    <xf numFmtId="0" fontId="0" fillId="41" borderId="0" xfId="0" applyFill="1" applyAlignment="1">
      <alignment wrapText="1"/>
    </xf>
    <xf numFmtId="0" fontId="0" fillId="0" borderId="0" xfId="0" applyAlignment="1">
      <alignment vertical="top" wrapText="1"/>
    </xf>
    <xf numFmtId="0" fontId="42" fillId="0" borderId="0" xfId="0" applyFont="1" applyAlignment="1">
      <alignment wrapText="1"/>
    </xf>
    <xf numFmtId="0" fontId="44" fillId="0" borderId="0" xfId="0" applyFont="1" applyAlignment="1">
      <alignment wrapText="1"/>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3" fontId="0" fillId="0" borderId="0" xfId="0" applyNumberFormat="1" applyAlignment="1">
      <alignment wrapText="1"/>
    </xf>
    <xf numFmtId="0" fontId="7" fillId="35" borderId="10" xfId="0" applyFont="1" applyFill="1" applyBorder="1" applyAlignment="1" applyProtection="1">
      <alignment horizontal="center" vertical="center"/>
      <protection hidden="1"/>
    </xf>
    <xf numFmtId="0" fontId="6" fillId="42" borderId="50" xfId="0" applyFont="1" applyFill="1" applyBorder="1" applyAlignment="1" applyProtection="1">
      <alignment horizontal="center" vertical="center" wrapText="1"/>
      <protection hidden="1"/>
    </xf>
    <xf numFmtId="0" fontId="59" fillId="0" borderId="51" xfId="0" applyNumberFormat="1" applyFont="1" applyBorder="1" applyAlignment="1">
      <alignment horizontal="center" vertical="center"/>
    </xf>
    <xf numFmtId="0" fontId="59" fillId="0" borderId="52" xfId="0" applyFont="1" applyBorder="1" applyAlignment="1">
      <alignment horizontal="center" vertical="center"/>
    </xf>
    <xf numFmtId="49" fontId="59" fillId="0" borderId="53" xfId="0" applyNumberFormat="1" applyFont="1" applyBorder="1" applyAlignment="1">
      <alignment horizontal="center" vertical="center"/>
    </xf>
    <xf numFmtId="0" fontId="1" fillId="0" borderId="0" xfId="58">
      <alignment/>
      <protection/>
    </xf>
    <xf numFmtId="0" fontId="7" fillId="35" borderId="50" xfId="58" applyFont="1" applyFill="1" applyBorder="1" applyAlignment="1">
      <alignment horizontal="center" vertical="center" wrapText="1"/>
      <protection/>
    </xf>
    <xf numFmtId="0" fontId="7" fillId="35" borderId="54" xfId="58" applyFont="1" applyFill="1" applyBorder="1" applyAlignment="1">
      <alignment horizontal="center" vertical="center" wrapText="1"/>
      <protection/>
    </xf>
    <xf numFmtId="0" fontId="60" fillId="0" borderId="51" xfId="58" applyFont="1" applyBorder="1" applyAlignment="1">
      <alignment horizontal="center" vertical="center"/>
      <protection/>
    </xf>
    <xf numFmtId="0" fontId="60" fillId="0" borderId="55" xfId="58" applyFont="1" applyBorder="1" applyAlignment="1">
      <alignment horizontal="left" vertical="center"/>
      <protection/>
    </xf>
    <xf numFmtId="0" fontId="60" fillId="0" borderId="52" xfId="58" applyFont="1" applyBorder="1" applyAlignment="1">
      <alignment horizontal="center" vertical="center"/>
      <protection/>
    </xf>
    <xf numFmtId="0" fontId="60" fillId="0" borderId="56" xfId="58" applyFont="1" applyBorder="1" applyAlignment="1">
      <alignment horizontal="left" vertical="center"/>
      <protection/>
    </xf>
    <xf numFmtId="0" fontId="59" fillId="0" borderId="52" xfId="58" applyFont="1" applyBorder="1" applyAlignment="1">
      <alignment horizontal="center" vertical="center"/>
      <protection/>
    </xf>
    <xf numFmtId="0" fontId="59" fillId="0" borderId="56" xfId="58" applyFont="1" applyBorder="1" applyAlignment="1">
      <alignment horizontal="left" vertical="center"/>
      <protection/>
    </xf>
    <xf numFmtId="0" fontId="23" fillId="0" borderId="52" xfId="58" applyFont="1" applyBorder="1" applyAlignment="1">
      <alignment horizontal="right" vertical="center"/>
      <protection/>
    </xf>
    <xf numFmtId="0" fontId="23" fillId="0" borderId="56" xfId="58" applyFont="1" applyBorder="1" applyAlignment="1">
      <alignment horizontal="left" vertical="center"/>
      <protection/>
    </xf>
    <xf numFmtId="0" fontId="59" fillId="0" borderId="53" xfId="58" applyFont="1" applyBorder="1" applyAlignment="1">
      <alignment horizontal="center" vertical="center"/>
      <protection/>
    </xf>
    <xf numFmtId="0" fontId="23" fillId="0" borderId="53" xfId="58" applyFont="1" applyBorder="1" applyAlignment="1">
      <alignment horizontal="right" vertical="center"/>
      <protection/>
    </xf>
    <xf numFmtId="0" fontId="23" fillId="0" borderId="57" xfId="58" applyFont="1" applyBorder="1" applyAlignment="1">
      <alignment horizontal="left" vertical="center"/>
      <protection/>
    </xf>
    <xf numFmtId="0" fontId="27" fillId="0" borderId="38" xfId="0" applyFont="1" applyBorder="1" applyAlignment="1" applyProtection="1">
      <alignment horizontal="center" vertical="center"/>
      <protection hidden="1"/>
    </xf>
    <xf numFmtId="0" fontId="27" fillId="0" borderId="39" xfId="0" applyFont="1" applyBorder="1" applyAlignment="1" applyProtection="1">
      <alignment horizontal="center" vertical="center"/>
      <protection hidden="1"/>
    </xf>
    <xf numFmtId="0" fontId="27" fillId="0" borderId="41"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0" fontId="27" fillId="0" borderId="52" xfId="0" applyFont="1" applyBorder="1" applyAlignment="1" applyProtection="1">
      <alignment horizontal="center" vertical="center"/>
      <protection hidden="1"/>
    </xf>
    <xf numFmtId="0" fontId="25" fillId="0" borderId="53" xfId="0" applyFont="1" applyBorder="1" applyAlignment="1" applyProtection="1">
      <alignment horizontal="center" vertical="center"/>
      <protection hidden="1"/>
    </xf>
    <xf numFmtId="0" fontId="27" fillId="41" borderId="38" xfId="0" applyFont="1" applyFill="1" applyBorder="1" applyAlignment="1" applyProtection="1">
      <alignment horizontal="center" vertical="center"/>
      <protection hidden="1"/>
    </xf>
    <xf numFmtId="0" fontId="27" fillId="41" borderId="39" xfId="0" applyFont="1" applyFill="1" applyBorder="1" applyAlignment="1" applyProtection="1">
      <alignment horizontal="center" vertical="center"/>
      <protection hidden="1"/>
    </xf>
    <xf numFmtId="0" fontId="27" fillId="41" borderId="41" xfId="0" applyFont="1" applyFill="1" applyBorder="1" applyAlignment="1" applyProtection="1">
      <alignment horizontal="center" vertical="center"/>
      <protection hidden="1"/>
    </xf>
    <xf numFmtId="0" fontId="27" fillId="40" borderId="38" xfId="0" applyFont="1" applyFill="1" applyBorder="1" applyAlignment="1" applyProtection="1">
      <alignment horizontal="center" vertical="center"/>
      <protection hidden="1"/>
    </xf>
    <xf numFmtId="0" fontId="27" fillId="40" borderId="37" xfId="0" applyFont="1" applyFill="1" applyBorder="1" applyAlignment="1" applyProtection="1">
      <alignment horizontal="center" vertical="center"/>
      <protection hidden="1"/>
    </xf>
    <xf numFmtId="0" fontId="27" fillId="40" borderId="39" xfId="0" applyFont="1" applyFill="1" applyBorder="1" applyAlignment="1" applyProtection="1">
      <alignment horizontal="center" vertical="center"/>
      <protection hidden="1"/>
    </xf>
    <xf numFmtId="0" fontId="27" fillId="40" borderId="41" xfId="0" applyFont="1" applyFill="1" applyBorder="1" applyAlignment="1" applyProtection="1">
      <alignment horizontal="center" vertical="center"/>
      <protection hidden="1"/>
    </xf>
    <xf numFmtId="0" fontId="29" fillId="37" borderId="10" xfId="0" applyFont="1" applyFill="1" applyBorder="1" applyAlignment="1">
      <alignment horizontal="center" vertical="center"/>
    </xf>
    <xf numFmtId="0" fontId="0" fillId="0" borderId="10" xfId="0" applyFont="1" applyBorder="1" applyAlignment="1">
      <alignment horizontal="center" vertical="center"/>
    </xf>
    <xf numFmtId="0" fontId="44" fillId="0" borderId="10" xfId="0" applyFont="1" applyBorder="1" applyAlignment="1">
      <alignment horizontal="center" vertical="center"/>
    </xf>
    <xf numFmtId="0" fontId="2" fillId="37" borderId="10" xfId="0" applyFont="1" applyFill="1" applyBorder="1" applyAlignment="1">
      <alignment horizontal="center" vertical="center" wrapText="1"/>
    </xf>
    <xf numFmtId="0" fontId="8" fillId="43" borderId="10" xfId="0" applyFont="1" applyFill="1" applyBorder="1" applyAlignment="1" applyProtection="1">
      <alignment vertical="center" wrapText="1"/>
      <protection hidden="1"/>
    </xf>
    <xf numFmtId="0" fontId="9" fillId="0" borderId="12" xfId="0" applyFont="1" applyBorder="1" applyAlignment="1" applyProtection="1">
      <alignment horizontal="left" vertical="top" wrapText="1"/>
      <protection hidden="1"/>
    </xf>
    <xf numFmtId="0" fontId="11" fillId="0" borderId="12" xfId="0" applyFont="1" applyBorder="1" applyAlignment="1" applyProtection="1">
      <alignment horizontal="left" vertical="center" wrapText="1"/>
      <protection hidden="1"/>
    </xf>
    <xf numFmtId="0" fontId="9" fillId="0" borderId="13" xfId="0" applyFont="1" applyBorder="1" applyAlignment="1" applyProtection="1">
      <alignment wrapText="1"/>
      <protection hidden="1"/>
    </xf>
    <xf numFmtId="0" fontId="2" fillId="0" borderId="15"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9" fillId="0" borderId="0" xfId="0" applyFont="1" applyBorder="1" applyAlignment="1" applyProtection="1">
      <alignment vertical="center" wrapText="1"/>
      <protection hidden="1"/>
    </xf>
    <xf numFmtId="0" fontId="12" fillId="0" borderId="58" xfId="0" applyFont="1" applyBorder="1" applyAlignment="1" applyProtection="1">
      <alignment vertical="center" wrapText="1"/>
      <protection hidden="1"/>
    </xf>
    <xf numFmtId="0" fontId="12" fillId="0" borderId="59" xfId="0" applyFont="1" applyBorder="1" applyAlignment="1" applyProtection="1">
      <alignment vertical="center" wrapText="1"/>
      <protection hidden="1"/>
    </xf>
    <xf numFmtId="0" fontId="15" fillId="0" borderId="0" xfId="0" applyFont="1" applyBorder="1" applyAlignment="1">
      <alignment horizontal="left" vertical="center" wrapText="1"/>
    </xf>
    <xf numFmtId="0" fontId="12" fillId="0" borderId="60"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0" fontId="0" fillId="0" borderId="13" xfId="0" applyFont="1" applyBorder="1" applyAlignment="1">
      <alignment vertical="center" shrinkToFit="1"/>
    </xf>
    <xf numFmtId="4" fontId="16" fillId="0" borderId="12" xfId="0" applyNumberFormat="1" applyFont="1" applyBorder="1" applyAlignment="1">
      <alignment horizontal="right"/>
    </xf>
    <xf numFmtId="0" fontId="19" fillId="0" borderId="0" xfId="0" applyFont="1" applyBorder="1" applyAlignment="1">
      <alignment/>
    </xf>
    <xf numFmtId="0" fontId="16" fillId="0" borderId="0" xfId="0" applyFont="1" applyBorder="1" applyAlignment="1">
      <alignment horizontal="center"/>
    </xf>
    <xf numFmtId="0" fontId="20" fillId="0" borderId="12" xfId="0" applyFont="1" applyBorder="1" applyAlignment="1">
      <alignment vertical="center"/>
    </xf>
    <xf numFmtId="0" fontId="2" fillId="0" borderId="0" xfId="0" applyFont="1" applyBorder="1" applyAlignment="1" applyProtection="1">
      <alignment horizontal="right" vertical="top"/>
      <protection hidden="1"/>
    </xf>
    <xf numFmtId="0" fontId="22" fillId="0" borderId="0" xfId="0" applyFont="1" applyBorder="1" applyAlignment="1" applyProtection="1">
      <alignment horizontal="center" vertical="center" wrapText="1"/>
      <protection hidden="1"/>
    </xf>
    <xf numFmtId="0" fontId="23" fillId="44" borderId="10" xfId="0" applyFont="1" applyFill="1" applyBorder="1" applyAlignment="1" applyProtection="1">
      <alignment horizontal="left" vertical="center" wrapText="1"/>
      <protection hidden="1"/>
    </xf>
    <xf numFmtId="0" fontId="23" fillId="37" borderId="10" xfId="0" applyFont="1" applyFill="1" applyBorder="1" applyAlignment="1" applyProtection="1">
      <alignment horizontal="left" vertical="center" wrapText="1"/>
      <protection hidden="1"/>
    </xf>
    <xf numFmtId="0" fontId="12" fillId="0" borderId="13"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23" fillId="45" borderId="10" xfId="0" applyFont="1" applyFill="1" applyBorder="1" applyAlignment="1" applyProtection="1">
      <alignment horizontal="left" vertical="center" wrapText="1"/>
      <protection hidden="1"/>
    </xf>
    <xf numFmtId="0" fontId="2" fillId="45" borderId="10" xfId="0" applyFont="1" applyFill="1" applyBorder="1" applyAlignment="1" applyProtection="1">
      <alignment horizontal="left" vertical="center" wrapText="1"/>
      <protection hidden="1"/>
    </xf>
    <xf numFmtId="0" fontId="21" fillId="0" borderId="61"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center" wrapText="1"/>
      <protection hidden="1"/>
    </xf>
    <xf numFmtId="0" fontId="21" fillId="0" borderId="13" xfId="0" applyNumberFormat="1" applyFont="1" applyBorder="1" applyAlignment="1" applyProtection="1">
      <alignment horizontal="justify" vertical="top" wrapText="1"/>
      <protection hidden="1"/>
    </xf>
    <xf numFmtId="0" fontId="21" fillId="0" borderId="13" xfId="0" applyNumberFormat="1" applyFont="1" applyBorder="1" applyAlignment="1" applyProtection="1">
      <alignment horizontal="justify" vertical="top"/>
      <protection hidden="1"/>
    </xf>
    <xf numFmtId="0" fontId="21" fillId="0" borderId="17" xfId="0" applyNumberFormat="1" applyFont="1" applyBorder="1" applyAlignment="1" applyProtection="1">
      <alignment horizontal="justify" vertical="top"/>
      <protection hidden="1"/>
    </xf>
    <xf numFmtId="0" fontId="2" fillId="45" borderId="10" xfId="0" applyNumberFormat="1" applyFont="1" applyFill="1" applyBorder="1" applyAlignment="1" applyProtection="1">
      <alignment horizontal="left" vertical="center" wrapText="1"/>
      <protection hidden="1"/>
    </xf>
    <xf numFmtId="0" fontId="28" fillId="0" borderId="61" xfId="0" applyNumberFormat="1" applyFont="1" applyBorder="1" applyAlignment="1" applyProtection="1">
      <alignment horizontal="justify" vertical="top"/>
      <protection hidden="1"/>
    </xf>
    <xf numFmtId="0" fontId="29" fillId="0" borderId="13" xfId="0" applyNumberFormat="1" applyFont="1" applyBorder="1" applyAlignment="1" applyProtection="1">
      <alignment horizontal="justify" vertical="center" wrapText="1"/>
      <protection hidden="1"/>
    </xf>
    <xf numFmtId="0" fontId="27" fillId="0" borderId="13" xfId="0" applyNumberFormat="1" applyFont="1" applyBorder="1" applyAlignment="1" applyProtection="1">
      <alignment horizontal="justify" vertical="top"/>
      <protection hidden="1"/>
    </xf>
    <xf numFmtId="0" fontId="27" fillId="0" borderId="13" xfId="0" applyNumberFormat="1" applyFont="1" applyBorder="1" applyAlignment="1" applyProtection="1">
      <alignment horizontal="justify" vertical="top" wrapText="1"/>
      <protection hidden="1"/>
    </xf>
    <xf numFmtId="0" fontId="27" fillId="0" borderId="17" xfId="0" applyNumberFormat="1" applyFont="1" applyBorder="1" applyAlignment="1" applyProtection="1">
      <alignment horizontal="justify" vertical="top"/>
      <protection hidden="1"/>
    </xf>
    <xf numFmtId="0" fontId="29" fillId="0" borderId="61" xfId="0" applyNumberFormat="1" applyFont="1" applyBorder="1" applyAlignment="1" applyProtection="1">
      <alignment horizontal="justify" vertical="center" wrapText="1"/>
      <protection hidden="1"/>
    </xf>
    <xf numFmtId="0" fontId="27" fillId="0" borderId="13" xfId="0" applyNumberFormat="1" applyFont="1" applyBorder="1" applyAlignment="1" applyProtection="1">
      <alignment horizontal="justify" vertical="center"/>
      <protection hidden="1"/>
    </xf>
    <xf numFmtId="0" fontId="30" fillId="0" borderId="13" xfId="0" applyNumberFormat="1" applyFont="1" applyBorder="1" applyAlignment="1" applyProtection="1">
      <alignment horizontal="justify" vertical="top"/>
      <protection hidden="1"/>
    </xf>
    <xf numFmtId="0" fontId="29" fillId="0" borderId="38" xfId="0" applyNumberFormat="1" applyFont="1" applyBorder="1" applyAlignment="1" applyProtection="1">
      <alignment horizontal="justify" vertical="center" wrapText="1"/>
      <protection hidden="1"/>
    </xf>
    <xf numFmtId="0" fontId="27" fillId="0" borderId="40" xfId="0" applyNumberFormat="1" applyFont="1" applyBorder="1" applyAlignment="1" applyProtection="1">
      <alignment horizontal="justify" vertical="center" wrapText="1"/>
      <protection hidden="1"/>
    </xf>
    <xf numFmtId="0" fontId="32" fillId="34" borderId="62" xfId="53" applyNumberFormat="1" applyFont="1" applyFill="1" applyBorder="1" applyAlignment="1" applyProtection="1">
      <alignment vertical="center" wrapText="1"/>
      <protection/>
    </xf>
    <xf numFmtId="0" fontId="32" fillId="34" borderId="63" xfId="53" applyNumberFormat="1" applyFont="1" applyFill="1" applyBorder="1" applyAlignment="1" applyProtection="1">
      <alignment vertical="center" wrapText="1"/>
      <protection/>
    </xf>
    <xf numFmtId="0" fontId="32" fillId="34" borderId="64" xfId="53" applyNumberFormat="1" applyFont="1" applyFill="1" applyBorder="1" applyAlignment="1" applyProtection="1">
      <alignment vertical="center" wrapText="1"/>
      <protection/>
    </xf>
    <xf numFmtId="0" fontId="2" fillId="40" borderId="10" xfId="0" applyFont="1" applyFill="1" applyBorder="1" applyAlignment="1" applyProtection="1">
      <alignment horizontal="left" vertical="center" wrapText="1"/>
      <protection hidden="1"/>
    </xf>
    <xf numFmtId="0" fontId="27" fillId="0" borderId="13" xfId="0" applyFont="1" applyFill="1" applyBorder="1" applyAlignment="1" applyProtection="1">
      <alignment horizontal="right" vertical="center" wrapText="1"/>
      <protection hidden="1"/>
    </xf>
    <xf numFmtId="165" fontId="34" fillId="34" borderId="17"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indent="1"/>
      <protection hidden="1"/>
    </xf>
    <xf numFmtId="0" fontId="35" fillId="0" borderId="11" xfId="0" applyFont="1" applyFill="1" applyBorder="1" applyAlignment="1" applyProtection="1">
      <alignment horizontal="left" vertical="center"/>
      <protection hidden="1"/>
    </xf>
    <xf numFmtId="0" fontId="38" fillId="0" borderId="0" xfId="0" applyFont="1" applyBorder="1" applyAlignment="1" applyProtection="1">
      <alignment horizontal="right" vertical="center"/>
      <protection hidden="1"/>
    </xf>
    <xf numFmtId="0" fontId="39" fillId="0" borderId="0" xfId="0" applyFont="1" applyBorder="1" applyAlignment="1" applyProtection="1">
      <alignment horizontal="center" vertical="center" wrapText="1"/>
      <protection hidden="1"/>
    </xf>
    <xf numFmtId="0" fontId="40" fillId="0" borderId="0" xfId="0" applyFont="1" applyBorder="1" applyAlignment="1" applyProtection="1">
      <alignment horizontal="left" vertical="center"/>
      <protection hidden="1"/>
    </xf>
    <xf numFmtId="4" fontId="7" fillId="33" borderId="17" xfId="0" applyNumberFormat="1" applyFont="1" applyFill="1" applyBorder="1" applyAlignment="1" applyProtection="1">
      <alignment horizontal="center" vertical="center"/>
      <protection hidden="1"/>
    </xf>
    <xf numFmtId="0" fontId="36" fillId="0" borderId="0" xfId="0" applyFont="1" applyBorder="1" applyAlignment="1" applyProtection="1">
      <alignment/>
      <protection hidden="1"/>
    </xf>
    <xf numFmtId="0" fontId="27" fillId="0" borderId="25" xfId="0" applyFont="1" applyBorder="1" applyAlignment="1" applyProtection="1">
      <alignment horizontal="center" vertical="top"/>
      <protection hidden="1"/>
    </xf>
    <xf numFmtId="0" fontId="21" fillId="0" borderId="12" xfId="0" applyFont="1" applyBorder="1" applyAlignment="1" applyProtection="1">
      <alignment horizontal="right" vertical="center"/>
      <protection hidden="1"/>
    </xf>
    <xf numFmtId="0" fontId="41" fillId="0" borderId="0" xfId="0" applyFont="1" applyBorder="1" applyAlignment="1" applyProtection="1">
      <alignment vertical="top" wrapText="1"/>
      <protection hidden="1"/>
    </xf>
    <xf numFmtId="0" fontId="28" fillId="0" borderId="0" xfId="0" applyFont="1" applyBorder="1" applyAlignment="1" applyProtection="1">
      <alignment horizontal="center" vertical="top" wrapText="1"/>
      <protection hidden="1"/>
    </xf>
    <xf numFmtId="49" fontId="34" fillId="34" borderId="17"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right" vertical="center" wrapText="1"/>
      <protection hidden="1"/>
    </xf>
    <xf numFmtId="0" fontId="43" fillId="0" borderId="0" xfId="0" applyNumberFormat="1" applyFont="1" applyFill="1" applyBorder="1" applyAlignment="1" applyProtection="1">
      <alignment vertical="center" wrapText="1"/>
      <protection hidden="1"/>
    </xf>
    <xf numFmtId="0" fontId="21" fillId="0" borderId="0" xfId="0" applyFont="1" applyBorder="1" applyAlignment="1" applyProtection="1">
      <alignment horizontal="right" vertical="center" wrapText="1"/>
      <protection hidden="1"/>
    </xf>
    <xf numFmtId="0" fontId="34" fillId="34" borderId="17" xfId="0" applyFont="1" applyFill="1" applyBorder="1" applyAlignment="1" applyProtection="1">
      <alignment horizontal="left" vertical="center"/>
      <protection locked="0"/>
    </xf>
    <xf numFmtId="1" fontId="34" fillId="34" borderId="17" xfId="0" applyNumberFormat="1" applyFont="1" applyFill="1" applyBorder="1" applyAlignment="1" applyProtection="1">
      <alignment horizontal="center" vertical="center"/>
      <protection locked="0"/>
    </xf>
    <xf numFmtId="0" fontId="4" fillId="34" borderId="17" xfId="53" applyNumberFormat="1" applyFont="1" applyFill="1" applyBorder="1" applyAlignment="1" applyProtection="1">
      <alignment/>
      <protection locked="0"/>
    </xf>
    <xf numFmtId="0" fontId="34" fillId="34" borderId="17" xfId="0" applyFont="1" applyFill="1" applyBorder="1" applyAlignment="1" applyProtection="1">
      <alignment/>
      <protection locked="0"/>
    </xf>
    <xf numFmtId="0" fontId="35" fillId="0" borderId="11" xfId="0" applyFont="1" applyBorder="1" applyAlignment="1" applyProtection="1">
      <alignment vertical="center"/>
      <protection hidden="1"/>
    </xf>
    <xf numFmtId="0" fontId="44" fillId="0" borderId="0" xfId="0" applyFont="1" applyBorder="1" applyAlignment="1" applyProtection="1">
      <alignment vertical="top" wrapText="1"/>
      <protection hidden="1"/>
    </xf>
    <xf numFmtId="0" fontId="45" fillId="0" borderId="0" xfId="0" applyFont="1" applyBorder="1" applyAlignment="1" applyProtection="1">
      <alignment vertical="top" wrapText="1"/>
      <protection hidden="1"/>
    </xf>
    <xf numFmtId="0" fontId="0" fillId="0" borderId="0" xfId="0" applyBorder="1" applyAlignment="1" applyProtection="1">
      <alignment horizontal="left" vertical="top" wrapText="1" indent="2"/>
      <protection hidden="1"/>
    </xf>
    <xf numFmtId="0" fontId="35" fillId="0" borderId="0" xfId="0" applyFont="1" applyFill="1" applyBorder="1" applyAlignment="1" applyProtection="1">
      <alignment vertical="top" wrapText="1"/>
      <protection hidden="1"/>
    </xf>
    <xf numFmtId="0" fontId="35" fillId="0" borderId="0" xfId="0" applyFont="1" applyBorder="1" applyAlignment="1" applyProtection="1">
      <alignment vertical="top" wrapText="1"/>
      <protection hidden="1"/>
    </xf>
    <xf numFmtId="0" fontId="21" fillId="0" borderId="0" xfId="0" applyFont="1" applyBorder="1" applyAlignment="1" applyProtection="1">
      <alignment horizontal="right" vertical="top" wrapText="1"/>
      <protection hidden="1"/>
    </xf>
    <xf numFmtId="0" fontId="42" fillId="0" borderId="0" xfId="0" applyFont="1" applyBorder="1" applyAlignment="1" applyProtection="1">
      <alignment horizontal="left" vertical="top"/>
      <protection hidden="1"/>
    </xf>
    <xf numFmtId="0" fontId="42" fillId="0" borderId="25" xfId="0" applyFont="1" applyBorder="1" applyAlignment="1" applyProtection="1">
      <alignment horizontal="left" vertical="top"/>
      <protection hidden="1"/>
    </xf>
    <xf numFmtId="0" fontId="1" fillId="0" borderId="12" xfId="0" applyFont="1" applyBorder="1" applyAlignment="1" applyProtection="1">
      <alignment horizontal="right" vertical="center" wrapText="1"/>
      <protection hidden="1"/>
    </xf>
    <xf numFmtId="0" fontId="42" fillId="0" borderId="25" xfId="0" applyFont="1" applyBorder="1" applyAlignment="1" applyProtection="1">
      <alignment horizontal="center" vertical="top"/>
      <protection hidden="1"/>
    </xf>
    <xf numFmtId="0" fontId="1" fillId="0" borderId="12" xfId="0" applyFont="1" applyBorder="1" applyAlignment="1" applyProtection="1">
      <alignment horizontal="right" vertical="center"/>
      <protection hidden="1"/>
    </xf>
    <xf numFmtId="0" fontId="42" fillId="0" borderId="0" xfId="0" applyFont="1" applyBorder="1" applyAlignment="1" applyProtection="1">
      <alignment horizontal="center" vertical="top"/>
      <protection hidden="1"/>
    </xf>
    <xf numFmtId="0" fontId="21" fillId="0" borderId="25" xfId="0" applyFont="1" applyBorder="1" applyAlignment="1" applyProtection="1">
      <alignment vertical="center"/>
      <protection hidden="1"/>
    </xf>
    <xf numFmtId="0" fontId="42" fillId="0" borderId="65" xfId="0" applyFont="1" applyBorder="1" applyAlignment="1" applyProtection="1">
      <alignment horizontal="center" vertical="top"/>
      <protection hidden="1"/>
    </xf>
    <xf numFmtId="49" fontId="34" fillId="34" borderId="17" xfId="0" applyNumberFormat="1" applyFont="1" applyFill="1" applyBorder="1" applyAlignment="1" applyProtection="1">
      <alignment horizontal="left" vertical="center"/>
      <protection locked="0"/>
    </xf>
    <xf numFmtId="49" fontId="4" fillId="34" borderId="17" xfId="53" applyNumberFormat="1" applyFont="1" applyFill="1" applyBorder="1" applyAlignment="1" applyProtection="1">
      <alignment horizontal="left" vertical="center"/>
      <protection locked="0"/>
    </xf>
    <xf numFmtId="0" fontId="47" fillId="0" borderId="66" xfId="0" applyFont="1" applyFill="1" applyBorder="1" applyAlignment="1" applyProtection="1">
      <alignment horizontal="center" vertical="center" wrapText="1"/>
      <protection hidden="1"/>
    </xf>
    <xf numFmtId="0" fontId="48" fillId="36" borderId="67" xfId="0" applyFont="1" applyFill="1" applyBorder="1" applyAlignment="1" applyProtection="1">
      <alignment horizontal="center" vertical="center" wrapText="1"/>
      <protection hidden="1"/>
    </xf>
    <xf numFmtId="0" fontId="34" fillId="0" borderId="66" xfId="0" applyFont="1" applyFill="1" applyBorder="1" applyAlignment="1" applyProtection="1">
      <alignment horizontal="center" vertical="top" wrapText="1"/>
      <protection hidden="1"/>
    </xf>
    <xf numFmtId="0" fontId="34" fillId="34" borderId="10" xfId="0" applyFont="1" applyFill="1" applyBorder="1" applyAlignment="1" applyProtection="1">
      <alignment vertical="center" wrapText="1"/>
      <protection hidden="1"/>
    </xf>
    <xf numFmtId="0" fontId="6" fillId="35" borderId="34"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wrapText="1"/>
      <protection hidden="1"/>
    </xf>
    <xf numFmtId="0" fontId="52" fillId="37" borderId="1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53" fillId="0" borderId="39"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52" fillId="37" borderId="10" xfId="0" applyFont="1" applyFill="1" applyBorder="1" applyAlignment="1">
      <alignment horizontal="left" vertical="center" wrapText="1"/>
    </xf>
    <xf numFmtId="0" fontId="1" fillId="0" borderId="39" xfId="0" applyFont="1" applyFill="1" applyBorder="1" applyAlignment="1">
      <alignment horizontal="left" vertical="center" wrapText="1" indent="1"/>
    </xf>
    <xf numFmtId="0" fontId="54" fillId="0" borderId="41" xfId="0" applyFont="1" applyFill="1" applyBorder="1" applyAlignment="1">
      <alignment horizontal="left" vertical="center" wrapText="1"/>
    </xf>
    <xf numFmtId="0" fontId="55" fillId="0" borderId="0" xfId="0" applyFont="1" applyFill="1" applyBorder="1" applyAlignment="1">
      <alignment vertical="center" wrapText="1"/>
    </xf>
    <xf numFmtId="0" fontId="28" fillId="0" borderId="40"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34" fillId="46" borderId="10" xfId="0" applyFont="1" applyFill="1" applyBorder="1" applyAlignment="1" applyProtection="1">
      <alignment vertical="center" wrapText="1"/>
      <protection hidden="1"/>
    </xf>
    <xf numFmtId="0" fontId="1" fillId="0" borderId="40" xfId="0" applyFont="1" applyFill="1" applyBorder="1" applyAlignment="1">
      <alignment horizontal="left" vertical="center" wrapText="1" indent="1"/>
    </xf>
    <xf numFmtId="0" fontId="52" fillId="0" borderId="39" xfId="0" applyFont="1" applyFill="1" applyBorder="1" applyAlignment="1">
      <alignment horizontal="left" vertical="center" wrapText="1" indent="1"/>
    </xf>
    <xf numFmtId="0" fontId="28" fillId="37" borderId="10" xfId="0" applyFont="1" applyFill="1" applyBorder="1" applyAlignment="1">
      <alignment horizontal="left" vertical="center" wrapText="1"/>
    </xf>
    <xf numFmtId="0" fontId="52" fillId="0" borderId="41" xfId="0" applyFont="1" applyFill="1" applyBorder="1" applyAlignment="1">
      <alignment horizontal="left" vertical="center" wrapText="1" indent="1"/>
    </xf>
    <xf numFmtId="0" fontId="47" fillId="0" borderId="66" xfId="0" applyFont="1" applyFill="1" applyBorder="1" applyAlignment="1">
      <alignment horizontal="center" vertical="center" wrapText="1"/>
    </xf>
    <xf numFmtId="0" fontId="34" fillId="0" borderId="66" xfId="0" applyFont="1" applyFill="1" applyBorder="1" applyAlignment="1">
      <alignment horizontal="center" vertical="top" wrapText="1"/>
    </xf>
    <xf numFmtId="0" fontId="6" fillId="35" borderId="34" xfId="0" applyFont="1" applyFill="1" applyBorder="1" applyAlignment="1">
      <alignment horizontal="center" vertical="center" wrapText="1"/>
    </xf>
    <xf numFmtId="0" fontId="51" fillId="35" borderId="36" xfId="0"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48" fillId="34" borderId="10" xfId="0" applyFont="1" applyFill="1" applyBorder="1" applyAlignment="1" applyProtection="1">
      <alignment vertical="center" wrapText="1"/>
      <protection hidden="1"/>
    </xf>
    <xf numFmtId="0" fontId="1" fillId="0" borderId="42"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48" fillId="37" borderId="10" xfId="0" applyFont="1" applyFill="1" applyBorder="1" applyAlignment="1" applyProtection="1">
      <alignment horizontal="left" vertical="center" wrapText="1"/>
      <protection hidden="1"/>
    </xf>
    <xf numFmtId="0" fontId="47" fillId="0" borderId="61" xfId="0" applyFont="1" applyFill="1" applyBorder="1" applyAlignment="1">
      <alignment horizontal="center" vertical="center" wrapText="1"/>
    </xf>
    <xf numFmtId="0" fontId="34" fillId="0" borderId="17" xfId="0" applyFont="1" applyFill="1" applyBorder="1" applyAlignment="1">
      <alignment horizontal="center" vertical="top" wrapText="1"/>
    </xf>
    <xf numFmtId="0" fontId="48" fillId="34" borderId="17" xfId="0" applyFont="1" applyFill="1" applyBorder="1" applyAlignment="1" applyProtection="1">
      <alignment vertical="center" wrapText="1"/>
      <protection hidden="1"/>
    </xf>
    <xf numFmtId="0" fontId="6" fillId="35" borderId="68" xfId="0" applyFont="1" applyFill="1" applyBorder="1" applyAlignment="1">
      <alignment horizontal="center" vertical="center" wrapText="1"/>
    </xf>
    <xf numFmtId="0" fontId="6" fillId="35" borderId="34" xfId="0" applyFont="1" applyFill="1" applyBorder="1" applyAlignment="1">
      <alignment horizontal="center" vertical="center" shrinkToFit="1"/>
    </xf>
    <xf numFmtId="0" fontId="6" fillId="35" borderId="34" xfId="0" applyFont="1" applyFill="1" applyBorder="1" applyAlignment="1">
      <alignment horizontal="center" vertical="center"/>
    </xf>
    <xf numFmtId="0" fontId="51" fillId="35" borderId="34" xfId="0" applyFont="1" applyFill="1" applyBorder="1" applyAlignment="1">
      <alignment horizontal="center" vertical="center"/>
    </xf>
    <xf numFmtId="0" fontId="51" fillId="35" borderId="44" xfId="0" applyFont="1" applyFill="1" applyBorder="1" applyAlignment="1">
      <alignment horizontal="center" vertical="center"/>
    </xf>
    <xf numFmtId="0" fontId="0" fillId="0" borderId="69" xfId="0" applyBorder="1" applyAlignment="1" applyProtection="1">
      <alignment/>
      <protection locked="0"/>
    </xf>
    <xf numFmtId="0" fontId="0" fillId="0" borderId="70" xfId="0" applyBorder="1" applyAlignment="1" applyProtection="1">
      <alignment vertical="center"/>
      <protection locked="0"/>
    </xf>
    <xf numFmtId="0" fontId="0" fillId="0" borderId="71" xfId="0" applyBorder="1" applyAlignment="1" applyProtection="1">
      <alignment/>
      <protection locked="0"/>
    </xf>
    <xf numFmtId="0" fontId="0" fillId="0" borderId="72" xfId="0" applyBorder="1" applyAlignment="1" applyProtection="1">
      <alignment vertical="center"/>
      <protection locked="0"/>
    </xf>
    <xf numFmtId="0" fontId="23" fillId="46" borderId="73" xfId="0" applyFont="1" applyFill="1" applyBorder="1" applyAlignment="1" applyProtection="1">
      <alignment horizontal="center" vertical="center" wrapText="1"/>
      <protection hidden="1"/>
    </xf>
    <xf numFmtId="0" fontId="7" fillId="35" borderId="17" xfId="0" applyFont="1" applyFill="1" applyBorder="1" applyAlignment="1" applyProtection="1">
      <alignment vertical="center" wrapText="1"/>
      <protection hidden="1"/>
    </xf>
    <xf numFmtId="0" fontId="12" fillId="0" borderId="38" xfId="0" applyFont="1" applyFill="1" applyBorder="1" applyAlignment="1" applyProtection="1">
      <alignment horizontal="left" vertical="center" wrapText="1"/>
      <protection hidden="1"/>
    </xf>
    <xf numFmtId="0" fontId="12" fillId="0" borderId="39"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7" fillId="35" borderId="10" xfId="0" applyFont="1" applyFill="1" applyBorder="1" applyAlignment="1" applyProtection="1">
      <alignment vertical="center" wrapText="1"/>
      <protection hidden="1"/>
    </xf>
    <xf numFmtId="0" fontId="2" fillId="0" borderId="41" xfId="0" applyFont="1" applyFill="1" applyBorder="1" applyAlignment="1" applyProtection="1">
      <alignment horizontal="left" vertical="center" wrapText="1"/>
      <protection hidden="1"/>
    </xf>
    <xf numFmtId="0" fontId="48" fillId="47" borderId="10" xfId="0" applyFont="1" applyFill="1" applyBorder="1" applyAlignment="1" applyProtection="1">
      <alignment horizontal="left" vertical="center" wrapText="1"/>
      <protection hidden="1"/>
    </xf>
    <xf numFmtId="0" fontId="6" fillId="42" borderId="54" xfId="0" applyFont="1" applyFill="1" applyBorder="1" applyAlignment="1" applyProtection="1">
      <alignment horizontal="center" vertical="center" wrapText="1"/>
      <protection hidden="1"/>
    </xf>
    <xf numFmtId="0" fontId="59" fillId="0" borderId="55" xfId="0" applyFont="1" applyBorder="1" applyAlignment="1">
      <alignment vertical="center" wrapText="1"/>
    </xf>
    <xf numFmtId="0" fontId="59" fillId="0" borderId="56" xfId="0" applyFont="1" applyBorder="1" applyAlignment="1">
      <alignment vertical="center" wrapText="1"/>
    </xf>
    <xf numFmtId="0" fontId="59" fillId="0" borderId="57" xfId="0" applyFont="1" applyBorder="1" applyAlignment="1">
      <alignment vertical="center" wrapText="1"/>
    </xf>
    <xf numFmtId="0" fontId="2" fillId="0" borderId="46" xfId="0" applyFont="1" applyFill="1" applyBorder="1" applyAlignment="1" applyProtection="1">
      <alignment horizontal="left" vertical="center" wrapText="1"/>
      <protection hidden="1"/>
    </xf>
    <xf numFmtId="0" fontId="7" fillId="35" borderId="54" xfId="58" applyFont="1" applyFill="1" applyBorder="1" applyAlignment="1">
      <alignment horizontal="center" vertical="center" wrapText="1"/>
      <protection/>
    </xf>
    <xf numFmtId="0" fontId="60" fillId="0" borderId="55" xfId="58" applyFont="1" applyBorder="1" applyAlignment="1">
      <alignment horizontal="left" vertical="center"/>
      <protection/>
    </xf>
    <xf numFmtId="0" fontId="60" fillId="0" borderId="56" xfId="58" applyFont="1" applyBorder="1" applyAlignment="1">
      <alignment horizontal="left" vertical="center"/>
      <protection/>
    </xf>
    <xf numFmtId="0" fontId="59" fillId="0" borderId="56" xfId="58" applyFont="1" applyBorder="1" applyAlignment="1">
      <alignment horizontal="left" vertical="center"/>
      <protection/>
    </xf>
    <xf numFmtId="0" fontId="59" fillId="0" borderId="57" xfId="58" applyFont="1" applyBorder="1" applyAlignment="1">
      <alignment horizontal="left" vertical="center"/>
      <protection/>
    </xf>
    <xf numFmtId="0" fontId="2" fillId="34" borderId="10" xfId="0" applyFont="1" applyFill="1" applyBorder="1" applyAlignment="1" applyProtection="1">
      <alignment horizontal="left" vertical="center" wrapText="1"/>
      <protection hidden="1"/>
    </xf>
    <xf numFmtId="0" fontId="7" fillId="42" borderId="10" xfId="0" applyFont="1" applyFill="1" applyBorder="1" applyAlignment="1" applyProtection="1">
      <alignment horizontal="left" vertical="center" wrapText="1"/>
      <protection hidden="1"/>
    </xf>
    <xf numFmtId="0" fontId="27" fillId="0" borderId="38" xfId="0" applyFont="1" applyBorder="1" applyAlignment="1" applyProtection="1">
      <alignment vertical="center"/>
      <protection hidden="1"/>
    </xf>
    <xf numFmtId="0" fontId="27" fillId="0" borderId="39" xfId="0" applyFont="1" applyBorder="1" applyAlignment="1" applyProtection="1">
      <alignment vertical="center"/>
      <protection hidden="1"/>
    </xf>
    <xf numFmtId="0" fontId="27" fillId="0" borderId="41" xfId="0" applyFont="1" applyBorder="1" applyAlignment="1" applyProtection="1">
      <alignment vertical="center"/>
      <protection hidden="1"/>
    </xf>
    <xf numFmtId="0" fontId="7" fillId="42" borderId="10" xfId="0" applyFont="1" applyFill="1" applyBorder="1" applyAlignment="1" applyProtection="1">
      <alignment horizontal="left" vertical="center"/>
      <protection hidden="1"/>
    </xf>
    <xf numFmtId="0" fontId="27" fillId="0" borderId="55" xfId="0" applyFont="1" applyBorder="1" applyAlignment="1" applyProtection="1">
      <alignment vertical="center" wrapText="1"/>
      <protection hidden="1"/>
    </xf>
    <xf numFmtId="0" fontId="27" fillId="0" borderId="56" xfId="0" applyFont="1" applyBorder="1" applyAlignment="1" applyProtection="1">
      <alignment vertical="center" wrapText="1"/>
      <protection hidden="1"/>
    </xf>
    <xf numFmtId="0" fontId="25" fillId="0" borderId="57" xfId="0" applyFont="1" applyBorder="1" applyAlignment="1" applyProtection="1">
      <alignment vertical="center" wrapText="1"/>
      <protection hidden="1"/>
    </xf>
    <xf numFmtId="0" fontId="27" fillId="41" borderId="38" xfId="0" applyFont="1" applyFill="1" applyBorder="1" applyAlignment="1" applyProtection="1">
      <alignment vertical="center"/>
      <protection hidden="1"/>
    </xf>
    <xf numFmtId="0" fontId="0" fillId="41" borderId="10" xfId="0" applyFont="1" applyFill="1" applyBorder="1" applyAlignment="1" applyProtection="1">
      <alignment horizontal="center" vertical="center" wrapText="1"/>
      <protection hidden="1"/>
    </xf>
    <xf numFmtId="0" fontId="27" fillId="41" borderId="39" xfId="0" applyFont="1" applyFill="1" applyBorder="1" applyAlignment="1" applyProtection="1">
      <alignment vertical="center"/>
      <protection hidden="1"/>
    </xf>
    <xf numFmtId="0" fontId="27" fillId="41" borderId="41" xfId="0" applyFont="1" applyFill="1" applyBorder="1" applyAlignment="1" applyProtection="1">
      <alignment vertical="center"/>
      <protection hidden="1"/>
    </xf>
    <xf numFmtId="0" fontId="27" fillId="40" borderId="38" xfId="0" applyFont="1" applyFill="1" applyBorder="1" applyAlignment="1" applyProtection="1">
      <alignment vertical="center"/>
      <protection hidden="1"/>
    </xf>
    <xf numFmtId="0" fontId="0" fillId="40" borderId="10" xfId="0" applyFont="1" applyFill="1" applyBorder="1" applyAlignment="1" applyProtection="1">
      <alignment horizontal="center" vertical="center" wrapText="1"/>
      <protection hidden="1"/>
    </xf>
    <xf numFmtId="0" fontId="27" fillId="40" borderId="39" xfId="0" applyFont="1" applyFill="1" applyBorder="1" applyAlignment="1" applyProtection="1">
      <alignment vertical="center"/>
      <protection hidden="1"/>
    </xf>
    <xf numFmtId="0" fontId="27" fillId="40" borderId="41" xfId="0" applyFont="1" applyFill="1" applyBorder="1" applyAlignment="1" applyProtection="1">
      <alignment vertical="center"/>
      <protection hidden="1"/>
    </xf>
    <xf numFmtId="0" fontId="9" fillId="0" borderId="10" xfId="0" applyFont="1" applyBorder="1" applyAlignment="1" applyProtection="1">
      <alignment vertical="center" wrapText="1"/>
      <protection hidden="1"/>
    </xf>
    <xf numFmtId="0" fontId="2" fillId="34" borderId="46" xfId="0" applyFont="1" applyFill="1" applyBorder="1" applyAlignment="1" applyProtection="1">
      <alignment horizontal="center" vertical="center"/>
      <protection hidden="1"/>
    </xf>
    <xf numFmtId="0" fontId="2" fillId="34" borderId="10" xfId="0" applyFont="1" applyFill="1" applyBorder="1" applyAlignment="1" applyProtection="1">
      <alignment horizontal="center" vertical="center"/>
      <protection hidden="1"/>
    </xf>
    <xf numFmtId="0" fontId="27" fillId="0" borderId="46" xfId="0" applyFont="1" applyBorder="1" applyAlignment="1" applyProtection="1">
      <alignment vertical="center"/>
      <protection hidden="1"/>
    </xf>
    <xf numFmtId="0" fontId="0" fillId="0" borderId="46"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27" fillId="0" borderId="10" xfId="0" applyFont="1" applyBorder="1" applyAlignment="1">
      <alignment vertical="center" wrapText="1"/>
    </xf>
    <xf numFmtId="0" fontId="29" fillId="37" borderId="10"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44" fillId="0" borderId="10"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5">
    <dxf>
      <font>
        <b/>
        <i val="0"/>
        <color indexed="10"/>
      </font>
      <fill>
        <patternFill patternType="solid">
          <fgColor indexed="31"/>
          <bgColor indexed="22"/>
        </patternFill>
      </fill>
    </dxf>
    <dxf>
      <font>
        <b/>
        <i val="0"/>
        <color indexed="13"/>
      </font>
      <fill>
        <patternFill patternType="solid">
          <fgColor indexed="62"/>
          <bgColor indexed="56"/>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180975</xdr:rowOff>
    </xdr:to>
    <xdr:grpSp>
      <xdr:nvGrpSpPr>
        <xdr:cNvPr id="1" name="Group 11"/>
        <xdr:cNvGrpSpPr>
          <a:grpSpLocks/>
        </xdr:cNvGrpSpPr>
      </xdr:nvGrpSpPr>
      <xdr:grpSpPr>
        <a:xfrm>
          <a:off x="4838700" y="3638550"/>
          <a:ext cx="2238375" cy="180975"/>
          <a:chOff x="8024" y="5821"/>
          <a:chExt cx="3710" cy="280"/>
        </a:xfrm>
        <a:solidFill>
          <a:srgbClr val="FFFFFF"/>
        </a:solidFill>
      </xdr:grpSpPr>
      <xdr:sp>
        <xdr:nvSpPr>
          <xdr:cNvPr id="2" name="Freeform 1"/>
          <xdr:cNvSpPr>
            <a:spLocks/>
          </xdr:cNvSpPr>
        </xdr:nvSpPr>
        <xdr:spPr>
          <a:xfrm>
            <a:off x="8024" y="5821"/>
            <a:ext cx="368"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395"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8766"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139"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511" y="5821"/>
            <a:ext cx="358"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9879"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256"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0629"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0995"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371" y="5821"/>
            <a:ext cx="362" cy="280"/>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stambeno.komunalno.gospodarstvo@ka.t-com.hr" TargetMode="External" /><Relationship Id="rId2" Type="http://schemas.openxmlformats.org/officeDocument/2006/relationships/hyperlink" Target="http://www.skg.ogulin/" TargetMode="External" /><Relationship Id="rId3" Type="http://schemas.openxmlformats.org/officeDocument/2006/relationships/hyperlink" Target="mailto:vesna.cindric@skg-ogulin.hr"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ht="12.75">
      <c r="A2" s="10" t="s">
        <v>28</v>
      </c>
      <c r="B2" s="11">
        <f>Opci!G14</f>
        <v>2014</v>
      </c>
      <c r="C2" s="4"/>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ht="12.75">
      <c r="A3" s="10" t="s">
        <v>30</v>
      </c>
      <c r="B3" s="11" t="s">
        <v>31</v>
      </c>
      <c r="C3" s="4"/>
      <c r="D3" s="4" t="s">
        <v>29</v>
      </c>
      <c r="E3" s="4">
        <v>1</v>
      </c>
      <c r="F3" s="4">
        <f>Bilanca!I11</f>
        <v>2</v>
      </c>
      <c r="G3" s="4">
        <f>IF(Bilanca!J11=0,"",Bilanca!J11)</f>
      </c>
      <c r="H3" s="12">
        <f>J3/100*F3+2*K3/100*F3</f>
        <v>232430.16000000003</v>
      </c>
      <c r="I3" s="4">
        <f>ABS(ROUND(J3,0)-J3)+ABS(ROUND(K3,0)-K3)</f>
        <v>0</v>
      </c>
      <c r="J3" s="14">
        <f>Bilanca!K11</f>
        <v>4096926</v>
      </c>
      <c r="K3" s="15">
        <f>Bilanca!L11</f>
        <v>3762291</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ht="12.75">
      <c r="A4" s="10" t="s">
        <v>32</v>
      </c>
      <c r="B4" s="11" t="s">
        <v>33</v>
      </c>
      <c r="C4" s="4"/>
      <c r="D4" s="4" t="s">
        <v>29</v>
      </c>
      <c r="E4" s="4">
        <v>1</v>
      </c>
      <c r="F4" s="4">
        <f>Bilanca!I12</f>
        <v>3</v>
      </c>
      <c r="G4" s="4">
        <f>IF(Bilanca!J12=0,"",Bilanca!J12)</f>
      </c>
      <c r="H4" s="12">
        <f aca="true" t="shared" si="1" ref="H4:H44">J4/100*F4+2*K4/100*F4</f>
        <v>0</v>
      </c>
      <c r="I4" s="13">
        <f>ABS(ROUND(J4,0)-J4)+ABS(ROUND(K4,0)-K4)</f>
        <v>0</v>
      </c>
      <c r="J4" s="14">
        <f>Bilanca!K12</f>
        <v>0</v>
      </c>
      <c r="K4" s="15">
        <f>Bilanca!L12</f>
        <v>0</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ht="12.75">
      <c r="A5" s="10" t="s">
        <v>34</v>
      </c>
      <c r="B5" s="11">
        <f>IF(ISNUMBER(Opci!C17),Opci!C17,0)</f>
        <v>10</v>
      </c>
      <c r="C5" s="4"/>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ht="12.75">
      <c r="A6" s="10" t="s">
        <v>35</v>
      </c>
      <c r="B6" s="11" t="str">
        <f>Opci!C19</f>
        <v>03200426</v>
      </c>
      <c r="C6" s="4"/>
      <c r="D6" s="4" t="s">
        <v>29</v>
      </c>
      <c r="E6" s="4">
        <v>1</v>
      </c>
      <c r="F6" s="4">
        <f>Bilanca!I14</f>
        <v>5</v>
      </c>
      <c r="G6" s="4">
        <f>IF(Bilanca!J14=0,"",Bilanca!J14)</f>
      </c>
      <c r="H6" s="12">
        <f t="shared" si="1"/>
        <v>0</v>
      </c>
      <c r="I6" s="13">
        <f t="shared" si="2"/>
        <v>0</v>
      </c>
      <c r="J6" s="14">
        <f>Bilanca!K14</f>
        <v>0</v>
      </c>
      <c r="K6" s="15">
        <f>Bilanca!L14</f>
        <v>0</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ht="12.75">
      <c r="A7" s="10" t="s">
        <v>36</v>
      </c>
      <c r="B7" s="11" t="str">
        <f>Opci!C21</f>
        <v>020032462</v>
      </c>
      <c r="C7" s="4"/>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ht="12.75">
      <c r="A8" s="10" t="s">
        <v>37</v>
      </c>
      <c r="B8" s="11" t="str">
        <f>Opci!C23</f>
        <v>26211106548</v>
      </c>
      <c r="C8" s="4"/>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ht="12.75">
      <c r="A9" s="10" t="s">
        <v>38</v>
      </c>
      <c r="B9" s="11" t="str">
        <f>TRIM(Opci!C25)</f>
        <v>STAMBENO KOMUNALNO GOSPODARSTVO D.O.O.</v>
      </c>
      <c r="C9" s="4"/>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ht="12.75">
      <c r="A10" s="10" t="s">
        <v>39</v>
      </c>
      <c r="B10" s="11" t="str">
        <f>TEXT(Opci!C27,"00000")</f>
        <v>47300</v>
      </c>
      <c r="C10" s="4"/>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ht="12.75">
      <c r="A11" s="10" t="s">
        <v>40</v>
      </c>
      <c r="B11" s="11" t="str">
        <f>TRIM(Opci!F27)</f>
        <v>OGULIN</v>
      </c>
      <c r="C11" s="4"/>
      <c r="D11" s="4" t="s">
        <v>29</v>
      </c>
      <c r="E11" s="4">
        <v>1</v>
      </c>
      <c r="F11" s="4">
        <f>Bilanca!I19</f>
        <v>10</v>
      </c>
      <c r="G11" s="4">
        <f>IF(Bilanca!J19=0,"",Bilanca!J19)</f>
      </c>
      <c r="H11" s="12">
        <f t="shared" si="1"/>
        <v>1146174.4</v>
      </c>
      <c r="I11" s="4">
        <f t="shared" si="2"/>
        <v>0</v>
      </c>
      <c r="J11" s="14">
        <f>Bilanca!K19</f>
        <v>4039724</v>
      </c>
      <c r="K11" s="15">
        <f>Bilanca!L19</f>
        <v>3711010</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ht="12.75">
      <c r="A12" s="10" t="s">
        <v>41</v>
      </c>
      <c r="B12" s="11" t="str">
        <f>TRIM(Opci!C29)</f>
        <v>IVANA GORANA KOVAČIĆA 8</v>
      </c>
      <c r="C12" s="4"/>
      <c r="D12" s="4" t="s">
        <v>29</v>
      </c>
      <c r="E12" s="4">
        <v>1</v>
      </c>
      <c r="F12" s="4">
        <f>Bilanca!I20</f>
        <v>11</v>
      </c>
      <c r="G12" s="4">
        <f>IF(Bilanca!J20=0,"",Bilanca!J20)</f>
      </c>
      <c r="H12" s="12">
        <f t="shared" si="1"/>
        <v>0</v>
      </c>
      <c r="I12" s="13">
        <f t="shared" si="2"/>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ht="12.75">
      <c r="A13" s="10" t="s">
        <v>42</v>
      </c>
      <c r="B13" s="11" t="str">
        <f>TRIM(Opci!C31)</f>
        <v>stambeno.komunalno.gospodarstvo@ka.t-com.hr</v>
      </c>
      <c r="C13" s="4"/>
      <c r="D13" s="4" t="s">
        <v>29</v>
      </c>
      <c r="E13" s="4">
        <v>1</v>
      </c>
      <c r="F13" s="4">
        <f>Bilanca!I21</f>
        <v>12</v>
      </c>
      <c r="G13" s="4">
        <f>IF(Bilanca!J21=0,"",Bilanca!J21)</f>
      </c>
      <c r="H13" s="12">
        <f t="shared" si="1"/>
        <v>1244990.88</v>
      </c>
      <c r="I13" s="4">
        <f t="shared" si="2"/>
        <v>0</v>
      </c>
      <c r="J13" s="14">
        <f>Bilanca!K21</f>
        <v>3633866</v>
      </c>
      <c r="K13" s="15">
        <f>Bilanca!L21</f>
        <v>3370529</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ht="12.75">
      <c r="A14" s="10" t="s">
        <v>43</v>
      </c>
      <c r="B14" s="11" t="str">
        <f>TRIM(Opci!C33)</f>
        <v>www.skg.ogulin</v>
      </c>
      <c r="C14" s="4"/>
      <c r="D14" s="4" t="s">
        <v>29</v>
      </c>
      <c r="E14" s="4">
        <v>1</v>
      </c>
      <c r="F14" s="4">
        <f>Bilanca!I22</f>
        <v>13</v>
      </c>
      <c r="G14" s="4">
        <f>IF(Bilanca!J22=0,"",Bilanca!J22)</f>
      </c>
      <c r="H14" s="12">
        <f t="shared" si="1"/>
        <v>112274.63</v>
      </c>
      <c r="I14" s="13">
        <f t="shared" si="2"/>
        <v>0</v>
      </c>
      <c r="J14" s="14">
        <f>Bilanca!K22</f>
        <v>300073</v>
      </c>
      <c r="K14" s="15">
        <f>Bilanca!L22</f>
        <v>281789</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ht="12.75">
      <c r="A15" s="10" t="s">
        <v>44</v>
      </c>
      <c r="B15" s="11" t="str">
        <f>TEXT(Opci!C37,"00")</f>
        <v>04</v>
      </c>
      <c r="C15" s="4"/>
      <c r="D15" s="4" t="s">
        <v>29</v>
      </c>
      <c r="E15" s="4">
        <v>1</v>
      </c>
      <c r="F15" s="4">
        <f>Bilanca!I23</f>
        <v>14</v>
      </c>
      <c r="G15" s="4">
        <f>IF(Bilanca!J23=0,"",Bilanca!J23)</f>
      </c>
      <c r="H15" s="12">
        <f t="shared" si="1"/>
        <v>31243.659999999996</v>
      </c>
      <c r="I15" s="4">
        <f t="shared" si="2"/>
        <v>0</v>
      </c>
      <c r="J15" s="14">
        <f>Bilanca!K23</f>
        <v>105785</v>
      </c>
      <c r="K15" s="15">
        <f>Bilanca!L23</f>
        <v>58692</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ht="12.75">
      <c r="A16" s="10" t="s">
        <v>45</v>
      </c>
      <c r="B16" s="11" t="str">
        <f>TEXT(Opci!C35,"000")</f>
        <v>297</v>
      </c>
      <c r="C16" s="4"/>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ht="12.75">
      <c r="A17" s="10" t="s">
        <v>46</v>
      </c>
      <c r="B17" s="11" t="str">
        <f>Opci!C39</f>
        <v>4110</v>
      </c>
      <c r="C17" s="4"/>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ht="12.75">
      <c r="A18" s="10" t="s">
        <v>47</v>
      </c>
      <c r="B18" s="11" t="str">
        <f>IF(Opci!C41&lt;&gt;"",Opci!C41,"")</f>
        <v>NE</v>
      </c>
      <c r="C18" s="4"/>
      <c r="D18" s="4" t="s">
        <v>29</v>
      </c>
      <c r="E18" s="4">
        <v>1</v>
      </c>
      <c r="F18" s="4">
        <f>Bilanca!I26</f>
        <v>17</v>
      </c>
      <c r="G18" s="4">
        <f>IF(Bilanca!J26=0,"",Bilanca!J26)</f>
      </c>
      <c r="H18" s="12">
        <f t="shared" si="1"/>
        <v>0</v>
      </c>
      <c r="I18" s="13">
        <f t="shared" si="2"/>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ht="12.75">
      <c r="A19" s="10" t="s">
        <v>48</v>
      </c>
      <c r="B19" s="11" t="str">
        <f>IF(Opci!C43&lt;&gt;"",Opci!C43,"")</f>
        <v>NE</v>
      </c>
      <c r="C19" s="4"/>
      <c r="D19" s="4" t="s">
        <v>29</v>
      </c>
      <c r="E19" s="4">
        <v>1</v>
      </c>
      <c r="F19" s="4">
        <f>Bilanca!I27</f>
        <v>18</v>
      </c>
      <c r="G19" s="4">
        <f>IF(Bilanca!J27=0,"",Bilanca!J27)</f>
      </c>
      <c r="H19" s="12">
        <f t="shared" si="1"/>
        <v>0</v>
      </c>
      <c r="I19" s="4">
        <f t="shared" si="2"/>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ht="12.75">
      <c r="A20" s="10" t="s">
        <v>49</v>
      </c>
      <c r="B20" s="11">
        <f>Opci!C45</f>
        <v>2</v>
      </c>
      <c r="C20" s="4"/>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ht="12.75">
      <c r="A21" s="10" t="s">
        <v>50</v>
      </c>
      <c r="B21" s="11">
        <f>Opci!C47</f>
        <v>1</v>
      </c>
      <c r="C21" s="4"/>
      <c r="D21" s="4" t="s">
        <v>29</v>
      </c>
      <c r="E21" s="4">
        <v>1</v>
      </c>
      <c r="F21" s="4">
        <f>Bilanca!I29</f>
        <v>20</v>
      </c>
      <c r="G21" s="4">
        <f>IF(Bilanca!J29=0,"",Bilanca!J29)</f>
      </c>
      <c r="H21" s="12">
        <f t="shared" si="1"/>
        <v>1887</v>
      </c>
      <c r="I21" s="4">
        <f t="shared" si="2"/>
        <v>0</v>
      </c>
      <c r="J21" s="14">
        <f>Bilanca!K29</f>
        <v>3145</v>
      </c>
      <c r="K21" s="15">
        <f>Bilanca!L29</f>
        <v>3145</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ht="12.75">
      <c r="A22" s="10" t="s">
        <v>51</v>
      </c>
      <c r="B22" s="11">
        <f>Opci!C49</f>
        <v>11</v>
      </c>
      <c r="C22" s="4"/>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ht="12.75">
      <c r="A23" s="10" t="s">
        <v>52</v>
      </c>
      <c r="B23" s="11">
        <f>Opci!C51</f>
        <v>100</v>
      </c>
      <c r="C23" s="4"/>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ht="12.75">
      <c r="A24" s="10" t="s">
        <v>53</v>
      </c>
      <c r="B24" s="11">
        <f>Opci!E51</f>
        <v>0</v>
      </c>
      <c r="C24" s="4"/>
      <c r="D24" s="4" t="s">
        <v>29</v>
      </c>
      <c r="E24" s="4">
        <v>1</v>
      </c>
      <c r="F24" s="4">
        <f>Bilanca!I32</f>
        <v>23</v>
      </c>
      <c r="G24" s="4">
        <f>IF(Bilanca!J32=0,"",Bilanca!J32)</f>
      </c>
      <c r="H24" s="12">
        <f t="shared" si="1"/>
        <v>0</v>
      </c>
      <c r="I24" s="13">
        <f t="shared" si="2"/>
        <v>0</v>
      </c>
      <c r="J24" s="14">
        <f>Bilanca!K32</f>
        <v>0</v>
      </c>
      <c r="K24" s="15">
        <f>Bilanca!L32</f>
        <v>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ht="12.75">
      <c r="A25" s="10" t="s">
        <v>54</v>
      </c>
      <c r="B25" s="11">
        <f>Opci!C53</f>
        <v>45</v>
      </c>
      <c r="C25" s="4"/>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ht="12.75">
      <c r="A26" s="10" t="s">
        <v>55</v>
      </c>
      <c r="B26" s="11">
        <f>Opci!E53</f>
        <v>47</v>
      </c>
      <c r="C26" s="4"/>
      <c r="D26" s="4" t="s">
        <v>29</v>
      </c>
      <c r="E26" s="4">
        <v>1</v>
      </c>
      <c r="F26" s="4">
        <f>Bilanca!I34</f>
        <v>25</v>
      </c>
      <c r="G26" s="4">
        <f>IF(Bilanca!J34=0,"",Bilanca!J34)</f>
      </c>
      <c r="H26" s="12">
        <f t="shared" si="1"/>
        <v>657</v>
      </c>
      <c r="I26" s="13">
        <f t="shared" si="2"/>
        <v>0</v>
      </c>
      <c r="J26" s="14">
        <f>Bilanca!K34</f>
        <v>876</v>
      </c>
      <c r="K26" s="15">
        <f>Bilanca!L34</f>
        <v>876</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ht="12.75">
      <c r="A27" s="10" t="s">
        <v>56</v>
      </c>
      <c r="B27" s="11">
        <f>Opci!C55</f>
        <v>45</v>
      </c>
      <c r="C27" s="4"/>
      <c r="D27" s="4" t="s">
        <v>29</v>
      </c>
      <c r="E27" s="4">
        <v>1</v>
      </c>
      <c r="F27" s="4">
        <f>Bilanca!I35</f>
        <v>26</v>
      </c>
      <c r="G27" s="4">
        <f>IF(Bilanca!J35=0,"",Bilanca!J35)</f>
      </c>
      <c r="H27" s="12">
        <f t="shared" si="1"/>
        <v>0</v>
      </c>
      <c r="I27" s="4">
        <f t="shared" si="2"/>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ht="12.75">
      <c r="A28" s="10" t="s">
        <v>57</v>
      </c>
      <c r="B28" s="11">
        <f>Opci!E55</f>
        <v>47</v>
      </c>
      <c r="C28" s="4"/>
      <c r="D28" s="4" t="s">
        <v>29</v>
      </c>
      <c r="E28" s="4">
        <v>1</v>
      </c>
      <c r="F28" s="4">
        <f>Bilanca!I36</f>
        <v>27</v>
      </c>
      <c r="G28" s="4">
        <f>IF(Bilanca!J36=0,"",Bilanca!J36)</f>
      </c>
      <c r="H28" s="12">
        <f t="shared" si="1"/>
        <v>1837.8899999999999</v>
      </c>
      <c r="I28" s="13">
        <f t="shared" si="2"/>
        <v>0</v>
      </c>
      <c r="J28" s="14">
        <f>Bilanca!K36</f>
        <v>2269</v>
      </c>
      <c r="K28" s="15">
        <f>Bilanca!L36</f>
        <v>2269</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ht="12.75">
      <c r="A29" s="10" t="s">
        <v>58</v>
      </c>
      <c r="B29" s="11">
        <f>Opci!C57</f>
        <v>12</v>
      </c>
      <c r="C29" s="4"/>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ht="12.75">
      <c r="A30" s="10" t="s">
        <v>59</v>
      </c>
      <c r="B30" s="11">
        <f>Opci!E57</f>
        <v>12</v>
      </c>
      <c r="C30" s="4"/>
      <c r="D30" s="4" t="s">
        <v>29</v>
      </c>
      <c r="E30" s="4">
        <v>1</v>
      </c>
      <c r="F30" s="4">
        <f>Bilanca!I38</f>
        <v>29</v>
      </c>
      <c r="G30" s="4">
        <f>IF(Bilanca!J38=0,"",Bilanca!J38)</f>
      </c>
      <c r="H30" s="12">
        <f t="shared" si="1"/>
        <v>43595.41</v>
      </c>
      <c r="I30" s="13">
        <f t="shared" si="2"/>
        <v>0</v>
      </c>
      <c r="J30" s="14">
        <f>Bilanca!K38</f>
        <v>54057</v>
      </c>
      <c r="K30" s="15">
        <f>Bilanca!L38</f>
        <v>48136</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ht="12.75">
      <c r="A31" s="10" t="s">
        <v>60</v>
      </c>
      <c r="B31" s="11">
        <f>Opci!G59</f>
        <v>0</v>
      </c>
      <c r="C31" s="4"/>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ht="12.75">
      <c r="A32" s="10" t="s">
        <v>61</v>
      </c>
      <c r="B32" s="11">
        <f>Opci!J59</f>
        <v>0</v>
      </c>
      <c r="C32" s="4"/>
      <c r="D32" s="4" t="s">
        <v>29</v>
      </c>
      <c r="E32" s="4">
        <v>1</v>
      </c>
      <c r="F32" s="4">
        <f>Bilanca!I40</f>
        <v>31</v>
      </c>
      <c r="G32" s="4">
        <f>IF(Bilanca!J40=0,"",Bilanca!J40)</f>
      </c>
      <c r="H32" s="12">
        <f t="shared" si="1"/>
        <v>46601.990000000005</v>
      </c>
      <c r="I32" s="13">
        <f t="shared" si="2"/>
        <v>0</v>
      </c>
      <c r="J32" s="14">
        <f>Bilanca!K40</f>
        <v>54057</v>
      </c>
      <c r="K32" s="15">
        <f>Bilanca!L40</f>
        <v>48136</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ht="12.75">
      <c r="A33" s="10" t="s">
        <v>62</v>
      </c>
      <c r="B33" s="11">
        <f>Opci!M59</f>
        <v>0</v>
      </c>
      <c r="C33" s="4"/>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ht="12.75">
      <c r="A34" s="10" t="s">
        <v>63</v>
      </c>
      <c r="B34" s="11">
        <f>Opci!G61</f>
        <v>0</v>
      </c>
      <c r="C34" s="4"/>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ht="12.75">
      <c r="A35" s="10" t="s">
        <v>64</v>
      </c>
      <c r="B35" s="11">
        <f>Opci!J61</f>
        <v>0</v>
      </c>
      <c r="C35" s="4"/>
      <c r="D35" s="4" t="s">
        <v>29</v>
      </c>
      <c r="E35" s="4">
        <v>1</v>
      </c>
      <c r="F35" s="4">
        <f>Bilanca!I43</f>
        <v>34</v>
      </c>
      <c r="G35" s="4">
        <f>IF(Bilanca!J43=0,"",Bilanca!J43)</f>
      </c>
      <c r="H35" s="12">
        <f t="shared" si="1"/>
        <v>2595826.5599999996</v>
      </c>
      <c r="I35" s="4">
        <f t="shared" si="2"/>
        <v>0</v>
      </c>
      <c r="J35" s="14">
        <f>Bilanca!K43</f>
        <v>2510350</v>
      </c>
      <c r="K35" s="15">
        <f>Bilanca!L43</f>
        <v>2562217</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ht="12.75">
      <c r="A36" s="10" t="s">
        <v>65</v>
      </c>
      <c r="B36" s="11">
        <f>Opci!M61</f>
        <v>0</v>
      </c>
      <c r="C36" s="4"/>
      <c r="D36" s="4" t="s">
        <v>29</v>
      </c>
      <c r="E36" s="4">
        <v>1</v>
      </c>
      <c r="F36" s="4">
        <f>Bilanca!I44</f>
        <v>35</v>
      </c>
      <c r="G36" s="4">
        <f>IF(Bilanca!J44=0,"",Bilanca!J44)</f>
      </c>
      <c r="H36" s="12">
        <f t="shared" si="1"/>
        <v>242502.4</v>
      </c>
      <c r="I36" s="13">
        <f t="shared" si="2"/>
        <v>0</v>
      </c>
      <c r="J36" s="14">
        <f>Bilanca!K44</f>
        <v>219570</v>
      </c>
      <c r="K36" s="15">
        <f>Bilanca!L44</f>
        <v>236647</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ht="12.75">
      <c r="A37" s="10" t="s">
        <v>66</v>
      </c>
      <c r="B37" s="11">
        <f>Opci!C63</f>
        <v>0</v>
      </c>
      <c r="C37" s="4"/>
      <c r="D37" s="4" t="s">
        <v>29</v>
      </c>
      <c r="E37" s="4">
        <v>1</v>
      </c>
      <c r="F37" s="4">
        <f>Bilanca!I45</f>
        <v>36</v>
      </c>
      <c r="G37" s="4">
        <f>IF(Bilanca!J45=0,"",Bilanca!J45)</f>
      </c>
      <c r="H37" s="12">
        <f t="shared" si="1"/>
        <v>218880.72</v>
      </c>
      <c r="I37" s="4">
        <f t="shared" si="2"/>
        <v>0</v>
      </c>
      <c r="J37" s="14">
        <f>Bilanca!K45</f>
        <v>192392</v>
      </c>
      <c r="K37" s="15">
        <f>Bilanca!L45</f>
        <v>207805</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ht="12.75">
      <c r="A38" s="10" t="s">
        <v>67</v>
      </c>
      <c r="B38" s="11">
        <f>TRIM(Opci!F63)</f>
      </c>
      <c r="C38" s="4"/>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ht="12.75">
      <c r="A39" s="10" t="s">
        <v>68</v>
      </c>
      <c r="B39" s="11" t="str">
        <f>TRIM(Opci!C65)</f>
        <v>CINDRIĆ VESNA</v>
      </c>
      <c r="C39" s="4"/>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ht="12.75">
      <c r="A40" s="10" t="s">
        <v>69</v>
      </c>
      <c r="B40" s="11" t="str">
        <f>TRIM(Opci!C67)</f>
        <v>047-532-314</v>
      </c>
      <c r="C40" s="4"/>
      <c r="D40" s="4" t="s">
        <v>29</v>
      </c>
      <c r="E40" s="4">
        <v>1</v>
      </c>
      <c r="F40" s="4">
        <f>Bilanca!I48</f>
        <v>39</v>
      </c>
      <c r="G40" s="4">
        <f>IF(Bilanca!J48=0,"",Bilanca!J48)</f>
      </c>
      <c r="H40" s="12">
        <f t="shared" si="1"/>
        <v>33096.18</v>
      </c>
      <c r="I40" s="13">
        <f t="shared" si="2"/>
        <v>0</v>
      </c>
      <c r="J40" s="14">
        <f>Bilanca!K48</f>
        <v>27178</v>
      </c>
      <c r="K40" s="15">
        <f>Bilanca!L48</f>
        <v>28842</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ht="12.75">
      <c r="A41" s="10" t="s">
        <v>70</v>
      </c>
      <c r="B41" s="11" t="str">
        <f>TRIM(Opci!H67)</f>
        <v>047-811-488</v>
      </c>
      <c r="C41" s="4"/>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ht="12.75">
      <c r="A42" s="10" t="s">
        <v>71</v>
      </c>
      <c r="B42" s="11" t="str">
        <f>TRIM(Opci!C69)</f>
        <v>vesna.cindric@skg-ogulin.hr</v>
      </c>
      <c r="C42" s="4"/>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ht="12.75">
      <c r="A43" s="10" t="s">
        <v>72</v>
      </c>
      <c r="B43" s="11" t="str">
        <f>TRIM(Opci!C71)</f>
        <v>SALOPEK IVICA</v>
      </c>
      <c r="C43" s="4"/>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ht="12.75">
      <c r="A44" s="10" t="s">
        <v>73</v>
      </c>
      <c r="B44" s="11" t="str">
        <f>IF(Opci!E5&lt;&gt;"",TEXT(Opci!E5,"YYYYMMDD"),"")</f>
        <v>20140101</v>
      </c>
      <c r="C44" s="4"/>
      <c r="D44" s="4" t="s">
        <v>29</v>
      </c>
      <c r="E44" s="4">
        <v>1</v>
      </c>
      <c r="F44" s="4">
        <f>Bilanca!I52</f>
        <v>43</v>
      </c>
      <c r="G44" s="4">
        <f>IF(Bilanca!J52=0,"",Bilanca!J52)</f>
      </c>
      <c r="H44" s="12">
        <f t="shared" si="1"/>
        <v>2825714.9000000004</v>
      </c>
      <c r="I44" s="13">
        <f t="shared" si="2"/>
        <v>0</v>
      </c>
      <c r="J44" s="14">
        <f>Bilanca!K52</f>
        <v>2152972</v>
      </c>
      <c r="K44" s="15">
        <f>Bilanca!L52</f>
        <v>2209229</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ht="12.75">
      <c r="A45" s="10" t="s">
        <v>74</v>
      </c>
      <c r="B45" s="11" t="str">
        <f>IF(Opci!H5&lt;&gt;"",TEXT(Opci!H5,"YYYYMMDD"),"")</f>
        <v>20141231</v>
      </c>
      <c r="C45" s="4"/>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ht="12.75">
      <c r="A46" s="10" t="s">
        <v>75</v>
      </c>
      <c r="B46" s="11" t="str">
        <f>IF(Bilanca!Q1&lt;&gt;0,"DA","NE")</f>
        <v>DA</v>
      </c>
      <c r="C46" s="4"/>
      <c r="D46" s="4" t="s">
        <v>29</v>
      </c>
      <c r="E46" s="4">
        <v>1</v>
      </c>
      <c r="F46" s="4">
        <f>Bilanca!I54</f>
        <v>45</v>
      </c>
      <c r="G46" s="4">
        <f>IF(Bilanca!J54=0,"",Bilanca!J54)</f>
      </c>
      <c r="H46" s="12">
        <f t="shared" si="3"/>
        <v>2940591.15</v>
      </c>
      <c r="I46" s="13">
        <f t="shared" si="4"/>
        <v>0</v>
      </c>
      <c r="J46" s="14">
        <f>Bilanca!K54</f>
        <v>2130577</v>
      </c>
      <c r="K46" s="15">
        <f>Bilanca!L54</f>
        <v>2202035</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ht="12.75">
      <c r="A47" s="10" t="s">
        <v>76</v>
      </c>
      <c r="B47" s="11" t="str">
        <f>IF(RDG!Q1&lt;&gt;0,"DA","NE")</f>
        <v>DA</v>
      </c>
      <c r="C47" s="4"/>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ht="12.75">
      <c r="A48" s="10" t="s">
        <v>77</v>
      </c>
      <c r="B48" s="11" t="str">
        <f>Opci!H41</f>
        <v>NE</v>
      </c>
      <c r="C48" s="4"/>
      <c r="D48" s="4" t="s">
        <v>29</v>
      </c>
      <c r="E48" s="4">
        <v>1</v>
      </c>
      <c r="F48" s="4">
        <f>Bilanca!I56</f>
        <v>47</v>
      </c>
      <c r="G48" s="4">
        <f>IF(Bilanca!J56=0,"",Bilanca!J56)</f>
      </c>
      <c r="H48" s="12">
        <f t="shared" si="3"/>
        <v>0</v>
      </c>
      <c r="I48" s="13">
        <f t="shared" si="4"/>
        <v>0</v>
      </c>
      <c r="J48" s="14">
        <f>Bilanca!K56</f>
        <v>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ht="12.75">
      <c r="A49" s="10" t="s">
        <v>78</v>
      </c>
      <c r="B49" s="11" t="str">
        <f>IF(NT_I!Q1&lt;&gt;0,"DA","NE")</f>
        <v>NE</v>
      </c>
      <c r="C49" s="4"/>
      <c r="D49" s="4" t="s">
        <v>29</v>
      </c>
      <c r="E49" s="4">
        <v>1</v>
      </c>
      <c r="F49" s="4">
        <f>Bilanca!I57</f>
        <v>48</v>
      </c>
      <c r="G49" s="4">
        <f>IF(Bilanca!J57=0,"",Bilanca!J57)</f>
      </c>
      <c r="H49" s="12">
        <f t="shared" si="3"/>
        <v>14091.36</v>
      </c>
      <c r="I49" s="4">
        <f t="shared" si="4"/>
        <v>0</v>
      </c>
      <c r="J49" s="14">
        <f>Bilanca!K57</f>
        <v>20237</v>
      </c>
      <c r="K49" s="15">
        <f>Bilanca!L57</f>
        <v>4560</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ht="12.75">
      <c r="A50" s="10" t="s">
        <v>79</v>
      </c>
      <c r="B50" s="11" t="str">
        <f>IF(NT_D!Q1&lt;&gt;0,"DA","NE")</f>
        <v>NE</v>
      </c>
      <c r="C50" s="4"/>
      <c r="D50" s="4" t="s">
        <v>29</v>
      </c>
      <c r="E50" s="4">
        <v>1</v>
      </c>
      <c r="F50" s="4">
        <f>Bilanca!I58</f>
        <v>49</v>
      </c>
      <c r="G50" s="4">
        <f>IF(Bilanca!J58=0,"",Bilanca!J58)</f>
      </c>
      <c r="H50" s="12">
        <f t="shared" si="3"/>
        <v>3638.74</v>
      </c>
      <c r="I50" s="13">
        <f t="shared" si="4"/>
        <v>0</v>
      </c>
      <c r="J50" s="14">
        <f>Bilanca!K58</f>
        <v>2158</v>
      </c>
      <c r="K50" s="15">
        <f>Bilanca!L58</f>
        <v>2634</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ht="12.75">
      <c r="A51" s="10" t="s">
        <v>80</v>
      </c>
      <c r="B51" s="11" t="str">
        <f>Opci!H47</f>
        <v>NE</v>
      </c>
      <c r="C51" s="4"/>
      <c r="D51" s="4" t="s">
        <v>29</v>
      </c>
      <c r="E51" s="4">
        <v>1</v>
      </c>
      <c r="F51" s="4">
        <f>Bilanca!I59</f>
        <v>50</v>
      </c>
      <c r="G51" s="4">
        <f>IF(Bilanca!J59=0,"",Bilanca!J59)</f>
      </c>
      <c r="H51" s="12">
        <f t="shared" si="3"/>
        <v>0</v>
      </c>
      <c r="I51" s="4">
        <f t="shared" si="4"/>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ht="12.75">
      <c r="A52" s="10" t="s">
        <v>81</v>
      </c>
      <c r="B52" s="11" t="str">
        <f>IF(ListaMB!O1&gt;0,"DA","NE")</f>
        <v>NE</v>
      </c>
      <c r="C52" s="4"/>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ht="12.75">
      <c r="A53" s="10" t="s">
        <v>82</v>
      </c>
      <c r="B53" s="11" t="str">
        <f>Opci!H43</f>
        <v>DA</v>
      </c>
      <c r="C53" s="4"/>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ht="12.75">
      <c r="A54" s="10" t="s">
        <v>83</v>
      </c>
      <c r="B54" s="11" t="str">
        <f>Opci!H49</f>
        <v>NE</v>
      </c>
      <c r="C54" s="4"/>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ht="12.75">
      <c r="A55" s="10" t="s">
        <v>84</v>
      </c>
      <c r="B55" s="11" t="str">
        <f>Opci!H51</f>
        <v>NE</v>
      </c>
      <c r="C55" s="4"/>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ht="12.75">
      <c r="A56" s="10" t="s">
        <v>85</v>
      </c>
      <c r="B56" s="11" t="str">
        <f>Opci!H53</f>
        <v>DA</v>
      </c>
      <c r="C56" s="4"/>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ht="12.75">
      <c r="A57" s="10" t="s">
        <v>86</v>
      </c>
      <c r="B57" s="11" t="str">
        <f>Opci!H55</f>
        <v>DA</v>
      </c>
      <c r="C57" s="4"/>
      <c r="D57" s="4" t="s">
        <v>29</v>
      </c>
      <c r="E57" s="4">
        <v>1</v>
      </c>
      <c r="F57" s="4">
        <f>Bilanca!I65</f>
        <v>56</v>
      </c>
      <c r="G57" s="4">
        <f>IF(Bilanca!J65=0,"",Bilanca!J65)</f>
      </c>
      <c r="H57" s="12">
        <f t="shared" si="3"/>
        <v>0</v>
      </c>
      <c r="I57" s="4">
        <f t="shared" si="4"/>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ht="12.75">
      <c r="A58" s="10" t="s">
        <v>87</v>
      </c>
      <c r="B58" s="11" t="str">
        <f>IF(Kont!M1&gt;0,"NE","DA")</f>
        <v>DA</v>
      </c>
      <c r="C58" s="4"/>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ht="12.75">
      <c r="A59" s="10" t="s">
        <v>88</v>
      </c>
      <c r="B59" s="12">
        <f>SUM(H2:H392)+SUM(Opci!P2:AK2)+SUM(AC2:AC101)</f>
        <v>546217570.9599999</v>
      </c>
      <c r="C59" s="4"/>
      <c r="D59" s="4" t="s">
        <v>29</v>
      </c>
      <c r="E59" s="4">
        <v>1</v>
      </c>
      <c r="F59" s="4">
        <f>Bilanca!I67</f>
        <v>58</v>
      </c>
      <c r="G59" s="4">
        <f>IF(Bilanca!J67=0,"",Bilanca!J67)</f>
      </c>
      <c r="H59" s="12">
        <f t="shared" si="3"/>
        <v>214884.2</v>
      </c>
      <c r="I59" s="4">
        <f t="shared" si="4"/>
        <v>0</v>
      </c>
      <c r="J59" s="14">
        <f>Bilanca!K67</f>
        <v>137808</v>
      </c>
      <c r="K59" s="15">
        <f>Bilanca!L67</f>
        <v>116341</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ht="12.75">
      <c r="A60" s="10" t="s">
        <v>89</v>
      </c>
      <c r="B60" s="11">
        <f>IF(Opci!E9&lt;&gt;"",LOOKUP(Opci!E9,Opci!AB29:AB45,Opci!AD29:AD45),"")</f>
        <v>5</v>
      </c>
      <c r="C60" s="4"/>
      <c r="D60" s="4" t="s">
        <v>29</v>
      </c>
      <c r="E60" s="4">
        <v>1</v>
      </c>
      <c r="F60" s="4">
        <f>Bilanca!I68</f>
        <v>59</v>
      </c>
      <c r="G60" s="4">
        <f>IF(Bilanca!J68=0,"",Bilanca!J68)</f>
      </c>
      <c r="H60" s="12">
        <f t="shared" si="3"/>
        <v>24190</v>
      </c>
      <c r="I60" s="13">
        <f t="shared" si="4"/>
        <v>0</v>
      </c>
      <c r="J60" s="14">
        <f>Bilanca!K68</f>
        <v>41000</v>
      </c>
      <c r="K60" s="15">
        <f>Bilanca!L68</f>
        <v>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ht="12.75">
      <c r="A61" s="10" t="s">
        <v>90</v>
      </c>
      <c r="B61" s="12">
        <f>SUM(AC2:AC101)</f>
        <v>0</v>
      </c>
      <c r="C61" s="4"/>
      <c r="D61" s="4" t="s">
        <v>29</v>
      </c>
      <c r="E61" s="4">
        <v>1</v>
      </c>
      <c r="F61" s="4">
        <f>Bilanca!I69</f>
        <v>60</v>
      </c>
      <c r="G61" s="4">
        <f>IF(Bilanca!J69=0,"",Bilanca!J69)</f>
      </c>
      <c r="H61" s="12">
        <f>J61/100*F61+2*K61/100*F61</f>
        <v>11578375.2</v>
      </c>
      <c r="I61" s="4">
        <f>ABS(ROUND(J61,0)-J61)+ABS(ROUND(K61,0)-K61)</f>
        <v>0</v>
      </c>
      <c r="J61" s="14">
        <f>Bilanca!K69</f>
        <v>6648276</v>
      </c>
      <c r="K61" s="15">
        <f>Bilanca!L69</f>
        <v>6324508</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ht="12.75">
      <c r="A62" s="10" t="s">
        <v>91</v>
      </c>
      <c r="B62" s="11" t="str">
        <f>Opci!H57</f>
        <v>NE</v>
      </c>
      <c r="C62" s="4"/>
      <c r="D62" s="4" t="s">
        <v>29</v>
      </c>
      <c r="E62" s="4">
        <v>1</v>
      </c>
      <c r="F62" s="4">
        <f>Bilanca!I70</f>
        <v>61</v>
      </c>
      <c r="G62" s="4">
        <f>IF(Bilanca!J70=0,"",Bilanca!J70)</f>
      </c>
      <c r="H62" s="12">
        <f>J62/100*F62+2*K62/100*F62</f>
        <v>0</v>
      </c>
      <c r="I62" s="13">
        <f>ABS(ROUND(J62,0)-J62)+ABS(ROUND(K62,0)-K62)</f>
        <v>0</v>
      </c>
      <c r="J62" s="14">
        <f>Bilanca!K70</f>
        <v>0</v>
      </c>
      <c r="K62" s="15">
        <f>Bilanca!L70</f>
        <v>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ht="12.75">
      <c r="A63" s="10" t="s">
        <v>92</v>
      </c>
      <c r="B63" s="11" t="str">
        <f>IF(ISNUMBER(VALUE(Opci!E43)),TEXT(INT(VALUE(Opci!E43)),"00000000000"),"")</f>
        <v>00000000000</v>
      </c>
      <c r="C63" s="4"/>
      <c r="D63" s="4" t="s">
        <v>29</v>
      </c>
      <c r="E63" s="4">
        <v>1</v>
      </c>
      <c r="F63" s="4">
        <f>Bilanca!I72</f>
        <v>62</v>
      </c>
      <c r="G63" s="4">
        <f>IF(Bilanca!J72=0,"",Bilanca!J72)</f>
      </c>
      <c r="H63" s="12">
        <f>J63/100*F63+2*K63/100*F63</f>
        <v>5379408.3</v>
      </c>
      <c r="I63" s="4">
        <f>ABS(ROUND(J63,0)-J63)+ABS(ROUND(K63,0)-K63)</f>
        <v>0</v>
      </c>
      <c r="J63" s="14">
        <f>Bilanca!K72</f>
        <v>2850751</v>
      </c>
      <c r="K63" s="15">
        <f>Bilanca!L72</f>
        <v>2912857</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ht="12.75">
      <c r="A64" s="10"/>
      <c r="B64" s="11"/>
      <c r="C64" s="4"/>
      <c r="D64" s="4" t="s">
        <v>29</v>
      </c>
      <c r="E64" s="4">
        <v>1</v>
      </c>
      <c r="F64" s="4">
        <f>Bilanca!I73</f>
        <v>63</v>
      </c>
      <c r="G64" s="4">
        <f>IF(Bilanca!J73=0,"",Bilanca!J73)</f>
      </c>
      <c r="H64" s="12">
        <f>J64/100*F64+2*K64/100*F64</f>
        <v>1214501.4</v>
      </c>
      <c r="I64" s="4">
        <f>ABS(ROUND(J64,0)-J64)+ABS(ROUND(K64,0)-K64)</f>
        <v>0</v>
      </c>
      <c r="J64" s="14">
        <f>Bilanca!K73</f>
        <v>642580</v>
      </c>
      <c r="K64" s="15">
        <f>Bilanca!L73</f>
        <v>642600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ht="12.75">
      <c r="A65" s="10"/>
      <c r="B65" s="11"/>
      <c r="C65" s="4"/>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ht="12.75">
      <c r="A66" s="10"/>
      <c r="B66" s="11"/>
      <c r="C66" s="4"/>
      <c r="D66" s="4" t="s">
        <v>29</v>
      </c>
      <c r="E66" s="4">
        <v>1</v>
      </c>
      <c r="F66" s="4">
        <f>Bilanca!I75</f>
        <v>65</v>
      </c>
      <c r="G66" s="4">
        <f>IF(Bilanca!J75=0,"",Bilanca!J75)</f>
      </c>
      <c r="H66" s="12">
        <f t="shared" si="5"/>
        <v>157.95000000000002</v>
      </c>
      <c r="I66" s="4">
        <f t="shared" si="6"/>
        <v>0</v>
      </c>
      <c r="J66" s="14">
        <f>Bilanca!K75</f>
        <v>81</v>
      </c>
      <c r="K66" s="15">
        <f>Bilanca!L75</f>
        <v>81</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ht="12.75">
      <c r="A67" s="10"/>
      <c r="B67" s="11"/>
      <c r="C67" s="4"/>
      <c r="D67" s="4" t="s">
        <v>29</v>
      </c>
      <c r="E67" s="4">
        <v>1</v>
      </c>
      <c r="F67" s="4">
        <f>Bilanca!I76</f>
        <v>66</v>
      </c>
      <c r="G67" s="4">
        <f>IF(Bilanca!J76=0,"",Bilanca!J76)</f>
      </c>
      <c r="H67" s="12">
        <f t="shared" si="5"/>
        <v>160.38</v>
      </c>
      <c r="I67" s="4">
        <f t="shared" si="6"/>
        <v>0</v>
      </c>
      <c r="J67" s="14">
        <f>Bilanca!K76</f>
        <v>81</v>
      </c>
      <c r="K67" s="15">
        <f>Bilanca!L76</f>
        <v>81</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ht="12.75">
      <c r="A68" s="10"/>
      <c r="B68" s="11"/>
      <c r="C68" s="4"/>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ht="12.75">
      <c r="A69" s="10"/>
      <c r="B69" s="11"/>
      <c r="C69" s="4"/>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ht="12.75">
      <c r="A70" s="10"/>
      <c r="B70" s="11"/>
      <c r="C70" s="4"/>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ht="12.75">
      <c r="A71" s="10"/>
      <c r="B71" s="11"/>
      <c r="C71" s="4"/>
      <c r="D71" s="4" t="s">
        <v>29</v>
      </c>
      <c r="E71" s="4">
        <v>1</v>
      </c>
      <c r="F71" s="4">
        <f>Bilanca!I80</f>
        <v>70</v>
      </c>
      <c r="G71" s="4">
        <f>IF(Bilanca!J80=0,"",Bilanca!J80)</f>
      </c>
      <c r="H71" s="12">
        <f t="shared" si="5"/>
        <v>0</v>
      </c>
      <c r="I71" s="4">
        <f t="shared" si="6"/>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ht="12.75">
      <c r="A72" s="10"/>
      <c r="B72" s="11"/>
      <c r="C72" s="4"/>
      <c r="D72" s="4" t="s">
        <v>29</v>
      </c>
      <c r="E72" s="4">
        <v>1</v>
      </c>
      <c r="F72" s="4">
        <f>Bilanca!I81</f>
        <v>71</v>
      </c>
      <c r="G72" s="4">
        <f>IF(Bilanca!J81=0,"",Bilanca!J81)</f>
      </c>
      <c r="H72" s="12">
        <f t="shared" si="5"/>
        <v>2246025.36</v>
      </c>
      <c r="I72" s="4">
        <f t="shared" si="6"/>
        <v>0</v>
      </c>
      <c r="J72" s="14">
        <f>Bilanca!K81</f>
        <v>1054472</v>
      </c>
      <c r="K72" s="15">
        <f>Bilanca!L81</f>
        <v>1054472</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ht="12.75">
      <c r="A73" s="10"/>
      <c r="B73" s="11"/>
      <c r="C73" s="4"/>
      <c r="D73" s="4" t="s">
        <v>29</v>
      </c>
      <c r="E73" s="4">
        <v>1</v>
      </c>
      <c r="F73" s="4">
        <f>Bilanca!I82</f>
        <v>72</v>
      </c>
      <c r="G73" s="4">
        <f>IF(Bilanca!J82=0,"",Bilanca!J82)</f>
      </c>
      <c r="H73" s="12">
        <f t="shared" si="5"/>
        <v>2454518.16</v>
      </c>
      <c r="I73" s="4">
        <f t="shared" si="6"/>
        <v>0</v>
      </c>
      <c r="J73" s="14">
        <f>Bilanca!K82</f>
        <v>1101815</v>
      </c>
      <c r="K73" s="15">
        <f>Bilanca!L82</f>
        <v>1153619</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ht="12.75">
      <c r="A74" s="10"/>
      <c r="B74" s="11"/>
      <c r="C74" s="4"/>
      <c r="D74" s="4" t="s">
        <v>29</v>
      </c>
      <c r="E74" s="4">
        <v>1</v>
      </c>
      <c r="F74" s="4">
        <f>Bilanca!I83</f>
        <v>73</v>
      </c>
      <c r="G74" s="4">
        <f>IF(Bilanca!J83=0,"",Bilanca!J83)</f>
      </c>
      <c r="H74" s="12">
        <f t="shared" si="5"/>
        <v>2488608.69</v>
      </c>
      <c r="I74" s="4">
        <f t="shared" si="6"/>
        <v>0</v>
      </c>
      <c r="J74" s="14">
        <f>Bilanca!K83</f>
        <v>1101815</v>
      </c>
      <c r="K74" s="15">
        <f>Bilanca!L83</f>
        <v>1153619</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ht="12.75">
      <c r="A75" s="10"/>
      <c r="B75" s="11"/>
      <c r="C75" s="4"/>
      <c r="D75" s="4" t="s">
        <v>29</v>
      </c>
      <c r="E75" s="4">
        <v>1</v>
      </c>
      <c r="F75" s="4">
        <f>Bilanca!I84</f>
        <v>74</v>
      </c>
      <c r="G75" s="4">
        <f>IF(Bilanca!J84=0,"",Bilanca!J84)</f>
      </c>
      <c r="H75" s="12">
        <f t="shared" si="5"/>
        <v>0</v>
      </c>
      <c r="I75" s="4">
        <f t="shared" si="6"/>
        <v>0</v>
      </c>
      <c r="J75" s="14">
        <f>Bilanca!K84</f>
        <v>0</v>
      </c>
      <c r="K75" s="15">
        <f>Bilanca!L84</f>
        <v>0</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ht="12.75">
      <c r="A76" s="10"/>
      <c r="B76" s="11"/>
      <c r="C76" s="4"/>
      <c r="D76" s="4" t="s">
        <v>29</v>
      </c>
      <c r="E76" s="4">
        <v>1</v>
      </c>
      <c r="F76" s="4">
        <f>Bilanca!I85</f>
        <v>75</v>
      </c>
      <c r="G76" s="4">
        <f>IF(Bilanca!J85=0,"",Bilanca!J85)</f>
      </c>
      <c r="H76" s="12">
        <f t="shared" si="5"/>
        <v>131979.75</v>
      </c>
      <c r="I76" s="4">
        <f t="shared" si="6"/>
        <v>0</v>
      </c>
      <c r="J76" s="14">
        <f>Bilanca!K85</f>
        <v>51803</v>
      </c>
      <c r="K76" s="15">
        <f>Bilanca!L85</f>
        <v>62085</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ht="12.75">
      <c r="A77" s="10"/>
      <c r="B77" s="11"/>
      <c r="C77" s="4"/>
      <c r="D77" s="4" t="s">
        <v>29</v>
      </c>
      <c r="E77" s="4">
        <v>1</v>
      </c>
      <c r="F77" s="4">
        <f>Bilanca!I86</f>
        <v>76</v>
      </c>
      <c r="G77" s="4">
        <f>IF(Bilanca!J86=0,"",Bilanca!J86)</f>
      </c>
      <c r="H77" s="12">
        <f t="shared" si="5"/>
        <v>133739.47999999998</v>
      </c>
      <c r="I77" s="4">
        <f t="shared" si="6"/>
        <v>0</v>
      </c>
      <c r="J77" s="14">
        <f>Bilanca!K86</f>
        <v>51803</v>
      </c>
      <c r="K77" s="15">
        <f>Bilanca!L86</f>
        <v>62085</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ht="12.75">
      <c r="A78" s="10"/>
      <c r="B78" s="11"/>
      <c r="C78" s="4"/>
      <c r="D78" s="4" t="s">
        <v>29</v>
      </c>
      <c r="E78" s="4">
        <v>1</v>
      </c>
      <c r="F78" s="4">
        <f>Bilanca!I87</f>
        <v>77</v>
      </c>
      <c r="G78" s="4">
        <f>IF(Bilanca!J87=0,"",Bilanca!J87)</f>
      </c>
      <c r="H78" s="12">
        <f t="shared" si="5"/>
        <v>0</v>
      </c>
      <c r="I78" s="4">
        <f t="shared" si="6"/>
        <v>0</v>
      </c>
      <c r="J78" s="14">
        <f>Bilanca!K87</f>
        <v>0</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ht="12.75">
      <c r="A79" s="10"/>
      <c r="B79" s="11"/>
      <c r="C79" s="4"/>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ht="12.75">
      <c r="A80" s="10"/>
      <c r="B80" s="11"/>
      <c r="C80" s="4"/>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ht="12.75">
      <c r="A81" s="10"/>
      <c r="B81" s="11"/>
      <c r="C81" s="4"/>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ht="12.75">
      <c r="A82" s="10"/>
      <c r="B82" s="11"/>
      <c r="C82" s="4"/>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ht="12.75">
      <c r="A83" s="10"/>
      <c r="B83" s="11"/>
      <c r="C83" s="4"/>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ht="12.75">
      <c r="A84" s="10"/>
      <c r="B84" s="11"/>
      <c r="C84" s="4"/>
      <c r="D84" s="4" t="s">
        <v>29</v>
      </c>
      <c r="E84" s="4">
        <v>1</v>
      </c>
      <c r="F84" s="4">
        <f>Bilanca!I93</f>
        <v>83</v>
      </c>
      <c r="G84" s="4">
        <f>IF(Bilanca!J93=0,"",Bilanca!J93)</f>
      </c>
      <c r="H84" s="12">
        <f t="shared" si="5"/>
        <v>4950874.47</v>
      </c>
      <c r="I84" s="4">
        <f t="shared" si="6"/>
        <v>0</v>
      </c>
      <c r="J84" s="14">
        <f>Bilanca!K93</f>
        <v>2225941</v>
      </c>
      <c r="K84" s="15">
        <f>Bilanca!L93</f>
        <v>1869484</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ht="12.75">
      <c r="A85" s="10"/>
      <c r="B85" s="11"/>
      <c r="C85" s="4"/>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ht="12.75">
      <c r="A86" s="10"/>
      <c r="B86" s="11"/>
      <c r="C86" s="4"/>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ht="12.75">
      <c r="A87" s="10"/>
      <c r="B87" s="11"/>
      <c r="C87" s="4"/>
      <c r="D87" s="4" t="s">
        <v>29</v>
      </c>
      <c r="E87" s="4">
        <v>1</v>
      </c>
      <c r="F87" s="4">
        <f>Bilanca!I96</f>
        <v>86</v>
      </c>
      <c r="G87" s="4">
        <f>IF(Bilanca!J96=0,"",Bilanca!J96)</f>
      </c>
      <c r="H87" s="12">
        <f t="shared" si="5"/>
        <v>5129821.74</v>
      </c>
      <c r="I87" s="4">
        <f t="shared" si="6"/>
        <v>0</v>
      </c>
      <c r="J87" s="14">
        <f>Bilanca!K96</f>
        <v>2225941</v>
      </c>
      <c r="K87" s="15">
        <f>Bilanca!L96</f>
        <v>1869484</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ht="12.75">
      <c r="A88" s="10"/>
      <c r="B88" s="11"/>
      <c r="C88" s="4"/>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ht="12.75">
      <c r="A89" s="10"/>
      <c r="B89" s="11"/>
      <c r="C89" s="4"/>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ht="12.75">
      <c r="A90" s="10"/>
      <c r="B90" s="11"/>
      <c r="C90" s="4"/>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ht="12.75">
      <c r="A91" s="10"/>
      <c r="B91" s="11"/>
      <c r="C91" s="4"/>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ht="12.75">
      <c r="A92" s="10"/>
      <c r="B92" s="11"/>
      <c r="C92" s="4"/>
      <c r="D92" s="4" t="s">
        <v>29</v>
      </c>
      <c r="E92" s="4">
        <v>1</v>
      </c>
      <c r="F92" s="4">
        <f>Bilanca!I101</f>
        <v>91</v>
      </c>
      <c r="G92" s="4">
        <f>IF(Bilanca!J101=0,"",Bilanca!J101)</f>
      </c>
      <c r="H92" s="12">
        <f t="shared" si="5"/>
        <v>0</v>
      </c>
      <c r="I92" s="4">
        <f t="shared" si="6"/>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ht="12.75">
      <c r="A93" s="10"/>
      <c r="B93" s="11"/>
      <c r="C93" s="4"/>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ht="12.75">
      <c r="A94" s="10"/>
      <c r="B94" s="11"/>
      <c r="C94" s="4"/>
      <c r="D94" s="4" t="s">
        <v>29</v>
      </c>
      <c r="E94" s="4">
        <v>1</v>
      </c>
      <c r="F94" s="4">
        <f>Bilanca!I103</f>
        <v>93</v>
      </c>
      <c r="G94" s="4">
        <f>IF(Bilanca!J103=0,"",Bilanca!J103)</f>
      </c>
      <c r="H94" s="12">
        <f t="shared" si="5"/>
        <v>3942174.21</v>
      </c>
      <c r="I94" s="4">
        <f t="shared" si="6"/>
        <v>0</v>
      </c>
      <c r="J94" s="14">
        <f>Bilanca!K103</f>
        <v>1432577</v>
      </c>
      <c r="K94" s="15">
        <f>Bilanca!L103</f>
        <v>1403160</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ht="12.75">
      <c r="A95" s="10"/>
      <c r="B95" s="11"/>
      <c r="C95" s="4"/>
      <c r="D95" s="4" t="s">
        <v>29</v>
      </c>
      <c r="E95" s="4">
        <v>1</v>
      </c>
      <c r="F95" s="4">
        <f>Bilanca!I104</f>
        <v>94</v>
      </c>
      <c r="G95" s="4">
        <f>IF(Bilanca!J104=0,"",Bilanca!J104)</f>
      </c>
      <c r="H95" s="12">
        <f t="shared" si="5"/>
        <v>1920.42</v>
      </c>
      <c r="I95" s="4">
        <f t="shared" si="6"/>
        <v>0</v>
      </c>
      <c r="J95" s="14">
        <f>Bilanca!K104</f>
        <v>265</v>
      </c>
      <c r="K95" s="15">
        <f>Bilanca!L104</f>
        <v>889</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ht="12.75">
      <c r="A96" s="10"/>
      <c r="B96" s="11"/>
      <c r="C96" s="4"/>
      <c r="D96" s="4" t="s">
        <v>29</v>
      </c>
      <c r="E96" s="4">
        <v>1</v>
      </c>
      <c r="F96" s="4">
        <f>Bilanca!I105</f>
        <v>95</v>
      </c>
      <c r="G96" s="4">
        <f>IF(Bilanca!J105=0,"",Bilanca!J105)</f>
      </c>
      <c r="H96" s="12">
        <f t="shared" si="5"/>
        <v>0</v>
      </c>
      <c r="I96" s="4">
        <f t="shared" si="6"/>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ht="12.75">
      <c r="A97" s="10"/>
      <c r="B97" s="11"/>
      <c r="C97" s="4"/>
      <c r="D97" s="4" t="s">
        <v>29</v>
      </c>
      <c r="E97" s="4">
        <v>1</v>
      </c>
      <c r="F97" s="4">
        <f>Bilanca!I106</f>
        <v>96</v>
      </c>
      <c r="G97" s="4">
        <f>IF(Bilanca!J106=0,"",Bilanca!J106)</f>
      </c>
      <c r="H97" s="12">
        <f t="shared" si="5"/>
        <v>0</v>
      </c>
      <c r="I97" s="4">
        <f t="shared" si="6"/>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ht="12.75">
      <c r="A98" s="10"/>
      <c r="B98" s="11"/>
      <c r="C98" s="4"/>
      <c r="D98" s="4" t="s">
        <v>29</v>
      </c>
      <c r="E98" s="4">
        <v>1</v>
      </c>
      <c r="F98" s="4">
        <f>Bilanca!I107</f>
        <v>97</v>
      </c>
      <c r="G98" s="4">
        <f>IF(Bilanca!J107=0,"",Bilanca!J107)</f>
      </c>
      <c r="H98" s="12">
        <f t="shared" si="5"/>
        <v>0</v>
      </c>
      <c r="I98" s="4">
        <f t="shared" si="6"/>
        <v>0</v>
      </c>
      <c r="J98" s="14">
        <f>Bilanca!K107</f>
        <v>0</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ht="12.75">
      <c r="A99" s="10"/>
      <c r="B99" s="11"/>
      <c r="C99" s="4"/>
      <c r="D99" s="4" t="s">
        <v>29</v>
      </c>
      <c r="E99" s="4">
        <v>1</v>
      </c>
      <c r="F99" s="4">
        <f>Bilanca!I108</f>
        <v>98</v>
      </c>
      <c r="G99" s="4">
        <f>IF(Bilanca!J108=0,"",Bilanca!J108)</f>
      </c>
      <c r="H99" s="12">
        <f aca="true" t="shared" si="8" ref="H99:H107">J99/100*F99+2*K99/100*F99</f>
        <v>2571611.1399999997</v>
      </c>
      <c r="I99" s="4">
        <f aca="true" t="shared" si="9" ref="I99:I107">ABS(ROUND(J99,0)-J99)+ABS(ROUND(K99,0)-K99)</f>
        <v>0</v>
      </c>
      <c r="J99" s="14">
        <f>Bilanca!K108</f>
        <v>939367</v>
      </c>
      <c r="K99" s="15">
        <f>Bilanca!L108</f>
        <v>842363</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ht="12.75">
      <c r="A100" s="10"/>
      <c r="B100" s="11"/>
      <c r="C100" s="4"/>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ht="12.75">
      <c r="A101" s="10"/>
      <c r="B101" s="11"/>
      <c r="C101" s="4"/>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ht="12.75">
      <c r="A102" s="10"/>
      <c r="B102" s="11"/>
      <c r="C102" s="4"/>
      <c r="D102" s="4" t="s">
        <v>29</v>
      </c>
      <c r="E102" s="4">
        <v>1</v>
      </c>
      <c r="F102" s="4">
        <f>Bilanca!I111</f>
        <v>101</v>
      </c>
      <c r="G102" s="4">
        <f>IF(Bilanca!J111=0,"",Bilanca!J111)</f>
      </c>
      <c r="H102" s="12">
        <f t="shared" si="8"/>
        <v>736980.84</v>
      </c>
      <c r="I102" s="4">
        <f t="shared" si="9"/>
        <v>0</v>
      </c>
      <c r="J102" s="14">
        <f>Bilanca!K111</f>
        <v>213740</v>
      </c>
      <c r="K102" s="15">
        <f>Bilanca!L111</f>
        <v>257972</v>
      </c>
      <c r="L102" s="14"/>
      <c r="M102" s="13"/>
      <c r="N102" s="13"/>
      <c r="O102" s="13"/>
      <c r="P102" s="13"/>
      <c r="Q102" s="13"/>
      <c r="R102" s="13"/>
      <c r="S102" s="13"/>
      <c r="T102" s="13"/>
      <c r="U102" s="13"/>
      <c r="V102" s="13"/>
      <c r="W102" s="13"/>
      <c r="X102" s="15"/>
      <c r="Y102" s="4"/>
      <c r="Z102" s="4"/>
      <c r="AA102" s="4"/>
      <c r="AB102" s="4"/>
      <c r="AC102" s="16"/>
    </row>
    <row r="103" spans="1:29" ht="12.75">
      <c r="A103" s="10"/>
      <c r="B103" s="11"/>
      <c r="C103" s="4"/>
      <c r="D103" s="4" t="s">
        <v>29</v>
      </c>
      <c r="E103" s="4">
        <v>1</v>
      </c>
      <c r="F103" s="4">
        <f>Bilanca!I112</f>
        <v>102</v>
      </c>
      <c r="G103" s="4">
        <f>IF(Bilanca!J112=0,"",Bilanca!J112)</f>
      </c>
      <c r="H103" s="12">
        <f t="shared" si="8"/>
        <v>789558.54</v>
      </c>
      <c r="I103" s="4">
        <f t="shared" si="9"/>
        <v>0</v>
      </c>
      <c r="J103" s="14">
        <f>Bilanca!K112</f>
        <v>235931</v>
      </c>
      <c r="K103" s="15">
        <f>Bilanca!L112</f>
        <v>269073</v>
      </c>
      <c r="L103" s="14"/>
      <c r="M103" s="13"/>
      <c r="N103" s="13"/>
      <c r="O103" s="13"/>
      <c r="P103" s="13"/>
      <c r="Q103" s="13"/>
      <c r="R103" s="13"/>
      <c r="S103" s="13"/>
      <c r="T103" s="13"/>
      <c r="U103" s="13"/>
      <c r="V103" s="13"/>
      <c r="W103" s="13"/>
      <c r="X103" s="15"/>
      <c r="Y103" s="4"/>
      <c r="Z103" s="4"/>
      <c r="AA103" s="4"/>
      <c r="AB103" s="4"/>
      <c r="AC103" s="16"/>
    </row>
    <row r="104" spans="1:29" ht="12.75">
      <c r="A104" s="10"/>
      <c r="B104" s="11"/>
      <c r="C104" s="4"/>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Y104" s="4"/>
      <c r="Z104" s="4"/>
      <c r="AA104" s="4"/>
      <c r="AB104" s="4"/>
      <c r="AC104" s="16"/>
    </row>
    <row r="105" spans="1:29" ht="12.75">
      <c r="A105" s="10"/>
      <c r="B105" s="11"/>
      <c r="C105" s="4"/>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Y105" s="4"/>
      <c r="Z105" s="4"/>
      <c r="AA105" s="4"/>
      <c r="AB105" s="4"/>
      <c r="AC105" s="16"/>
    </row>
    <row r="106" spans="1:29" ht="12.75">
      <c r="A106" s="10"/>
      <c r="B106" s="11"/>
      <c r="C106" s="4"/>
      <c r="D106" s="4" t="s">
        <v>29</v>
      </c>
      <c r="E106" s="4">
        <v>1</v>
      </c>
      <c r="F106" s="4">
        <f>Bilanca!I115</f>
        <v>105</v>
      </c>
      <c r="G106" s="4">
        <f>IF(Bilanca!J115=0,"",Bilanca!J115)</f>
      </c>
      <c r="H106" s="12">
        <f t="shared" si="8"/>
        <v>114450</v>
      </c>
      <c r="I106" s="4">
        <f t="shared" si="9"/>
        <v>0</v>
      </c>
      <c r="J106" s="14">
        <f>Bilanca!K115</f>
        <v>43274</v>
      </c>
      <c r="K106" s="15">
        <f>Bilanca!L115</f>
        <v>32863</v>
      </c>
      <c r="L106" s="14"/>
      <c r="M106" s="13"/>
      <c r="N106" s="13"/>
      <c r="O106" s="13"/>
      <c r="P106" s="13"/>
      <c r="Q106" s="13"/>
      <c r="R106" s="13"/>
      <c r="S106" s="13"/>
      <c r="T106" s="13"/>
      <c r="U106" s="13"/>
      <c r="V106" s="13"/>
      <c r="W106" s="13"/>
      <c r="X106" s="15"/>
      <c r="Y106" s="4"/>
      <c r="Z106" s="4"/>
      <c r="AA106" s="4"/>
      <c r="AB106" s="4"/>
      <c r="AC106" s="16"/>
    </row>
    <row r="107" spans="1:29" ht="12.75">
      <c r="A107" s="10"/>
      <c r="B107" s="11"/>
      <c r="C107" s="4"/>
      <c r="D107" s="4" t="s">
        <v>29</v>
      </c>
      <c r="E107" s="4">
        <v>1</v>
      </c>
      <c r="F107" s="4">
        <f>Bilanca!I116</f>
        <v>106</v>
      </c>
      <c r="G107" s="4">
        <f>IF(Bilanca!J116=0,"",Bilanca!J116)</f>
      </c>
      <c r="H107" s="12">
        <f t="shared" si="8"/>
        <v>442042.25999999995</v>
      </c>
      <c r="I107" s="4">
        <f t="shared" si="9"/>
        <v>0</v>
      </c>
      <c r="J107" s="14">
        <f>Bilanca!K116</f>
        <v>139007</v>
      </c>
      <c r="K107" s="15">
        <f>Bilanca!L116</f>
        <v>139007</v>
      </c>
      <c r="L107" s="14"/>
      <c r="M107" s="13"/>
      <c r="N107" s="13"/>
      <c r="O107" s="13"/>
      <c r="P107" s="13"/>
      <c r="Q107" s="13"/>
      <c r="R107" s="13"/>
      <c r="S107" s="13"/>
      <c r="T107" s="13"/>
      <c r="U107" s="13"/>
      <c r="V107" s="13"/>
      <c r="W107" s="13"/>
      <c r="X107" s="15"/>
      <c r="Y107" s="4"/>
      <c r="Z107" s="4"/>
      <c r="AA107" s="4"/>
      <c r="AB107" s="4"/>
      <c r="AC107" s="16"/>
    </row>
    <row r="108" spans="1:29" ht="12.75">
      <c r="A108" s="10"/>
      <c r="B108" s="11"/>
      <c r="C108" s="4"/>
      <c r="D108" s="4" t="s">
        <v>29</v>
      </c>
      <c r="E108" s="4">
        <v>1</v>
      </c>
      <c r="F108" s="4">
        <f>Bilanca!I117</f>
        <v>107</v>
      </c>
      <c r="G108" s="4">
        <f>IF(Bilanca!J117=0,"",Bilanca!J117)</f>
      </c>
      <c r="H108" s="12">
        <f aca="true" t="shared" si="10" ref="H108:H113">J108/100*F108+2*K108/100*F108</f>
        <v>20648102.44</v>
      </c>
      <c r="I108" s="4">
        <f aca="true" t="shared" si="11" ref="I108:I113">ABS(ROUND(J108,0)-J108)+ABS(ROUND(K108,0)-K108)</f>
        <v>0</v>
      </c>
      <c r="J108" s="14">
        <f>Bilanca!K117</f>
        <v>6648276</v>
      </c>
      <c r="K108" s="15">
        <f>Bilanca!L117</f>
        <v>6324508</v>
      </c>
      <c r="L108" s="14"/>
      <c r="M108" s="13"/>
      <c r="N108" s="13"/>
      <c r="O108" s="13"/>
      <c r="P108" s="13"/>
      <c r="Q108" s="13"/>
      <c r="R108" s="13"/>
      <c r="S108" s="13"/>
      <c r="T108" s="13"/>
      <c r="U108" s="13"/>
      <c r="V108" s="13"/>
      <c r="W108" s="13"/>
      <c r="X108" s="15"/>
      <c r="Y108" s="4"/>
      <c r="Z108" s="4"/>
      <c r="AA108" s="4"/>
      <c r="AB108" s="4"/>
      <c r="AC108" s="16"/>
    </row>
    <row r="109" spans="1:29" ht="12.75">
      <c r="A109" s="10"/>
      <c r="B109" s="11"/>
      <c r="C109" s="4"/>
      <c r="D109" s="4" t="s">
        <v>29</v>
      </c>
      <c r="E109" s="4">
        <v>1</v>
      </c>
      <c r="F109" s="4">
        <f>Bilanca!I118</f>
        <v>108</v>
      </c>
      <c r="G109" s="4">
        <f>IF(Bilanca!J118=0,"",Bilanca!J118)</f>
      </c>
      <c r="H109" s="12">
        <f t="shared" si="10"/>
        <v>0</v>
      </c>
      <c r="I109" s="4">
        <f t="shared" si="11"/>
        <v>0</v>
      </c>
      <c r="J109" s="14">
        <f>Bilanca!K118</f>
        <v>0</v>
      </c>
      <c r="K109" s="15">
        <f>Bilanca!L118</f>
        <v>0</v>
      </c>
      <c r="L109" s="14"/>
      <c r="M109" s="13"/>
      <c r="N109" s="13"/>
      <c r="O109" s="13"/>
      <c r="P109" s="13"/>
      <c r="Q109" s="13"/>
      <c r="R109" s="13"/>
      <c r="S109" s="13"/>
      <c r="T109" s="13"/>
      <c r="U109" s="13"/>
      <c r="V109" s="13"/>
      <c r="W109" s="13"/>
      <c r="X109" s="15"/>
      <c r="Y109" s="4"/>
      <c r="Z109" s="4"/>
      <c r="AA109" s="4"/>
      <c r="AB109" s="4"/>
      <c r="AC109" s="16"/>
    </row>
    <row r="110" spans="1:29" ht="12.75">
      <c r="A110" s="10"/>
      <c r="B110" s="11"/>
      <c r="C110" s="4"/>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Y110" s="4"/>
      <c r="Z110" s="4"/>
      <c r="AA110" s="4"/>
      <c r="AB110" s="4"/>
      <c r="AC110" s="16"/>
    </row>
    <row r="111" spans="1:29" ht="12.75">
      <c r="A111" s="10"/>
      <c r="B111" s="11"/>
      <c r="C111" s="4"/>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Y111" s="4"/>
      <c r="Z111" s="4"/>
      <c r="AA111" s="4"/>
      <c r="AB111" s="4"/>
      <c r="AC111" s="16"/>
    </row>
    <row r="112" spans="1:29" ht="12.75">
      <c r="A112" s="10"/>
      <c r="B112" s="11"/>
      <c r="C112" s="4"/>
      <c r="D112" s="4" t="s">
        <v>93</v>
      </c>
      <c r="E112" s="4">
        <v>2</v>
      </c>
      <c r="F112" s="4">
        <f>RDG!I9</f>
        <v>111</v>
      </c>
      <c r="G112" s="4">
        <f>IF(RDG!J9=0,"",RDG!J9)</f>
      </c>
      <c r="H112" s="12">
        <f t="shared" si="10"/>
        <v>26340775.08</v>
      </c>
      <c r="I112" s="4">
        <f t="shared" si="11"/>
        <v>0</v>
      </c>
      <c r="J112" s="14">
        <f>RDG!K9</f>
        <v>8234398</v>
      </c>
      <c r="K112" s="15">
        <f>RDG!L9</f>
        <v>7748015</v>
      </c>
      <c r="L112" s="14"/>
      <c r="M112" s="13"/>
      <c r="N112" s="13"/>
      <c r="O112" s="13"/>
      <c r="P112" s="13"/>
      <c r="Q112" s="13"/>
      <c r="R112" s="13"/>
      <c r="S112" s="13"/>
      <c r="T112" s="13"/>
      <c r="U112" s="13"/>
      <c r="V112" s="13"/>
      <c r="W112" s="13"/>
      <c r="X112" s="15"/>
      <c r="Y112" s="4"/>
      <c r="Z112" s="4"/>
      <c r="AA112" s="4"/>
      <c r="AB112" s="4"/>
      <c r="AC112" s="16"/>
    </row>
    <row r="113" spans="1:29" ht="12.75">
      <c r="A113" s="10"/>
      <c r="B113" s="11"/>
      <c r="C113" s="4"/>
      <c r="D113" s="4" t="s">
        <v>93</v>
      </c>
      <c r="E113" s="4">
        <v>2</v>
      </c>
      <c r="F113" s="4">
        <f>RDG!I10</f>
        <v>112</v>
      </c>
      <c r="G113" s="4">
        <f>IF(RDG!J10=0,"",RDG!J10)</f>
      </c>
      <c r="H113" s="12">
        <f t="shared" si="10"/>
        <v>25799416.160000004</v>
      </c>
      <c r="I113" s="4">
        <f t="shared" si="11"/>
        <v>0</v>
      </c>
      <c r="J113" s="14">
        <f>RDG!K10</f>
        <v>7745795</v>
      </c>
      <c r="K113" s="15">
        <f>RDG!L10</f>
        <v>7644699</v>
      </c>
      <c r="L113" s="14"/>
      <c r="M113" s="13"/>
      <c r="N113" s="13"/>
      <c r="O113" s="13"/>
      <c r="P113" s="13"/>
      <c r="Q113" s="13"/>
      <c r="R113" s="13"/>
      <c r="S113" s="13"/>
      <c r="T113" s="13"/>
      <c r="U113" s="13"/>
      <c r="V113" s="13"/>
      <c r="W113" s="13"/>
      <c r="X113" s="15"/>
      <c r="Y113" s="4"/>
      <c r="Z113" s="4"/>
      <c r="AA113" s="4"/>
      <c r="AB113" s="4"/>
      <c r="AC113" s="16"/>
    </row>
    <row r="114" spans="1:29" ht="12.75">
      <c r="A114" s="10"/>
      <c r="B114" s="11"/>
      <c r="C114" s="4"/>
      <c r="D114" s="4" t="s">
        <v>93</v>
      </c>
      <c r="E114" s="4">
        <v>2</v>
      </c>
      <c r="F114" s="4">
        <f>RDG!I11</f>
        <v>113</v>
      </c>
      <c r="G114" s="4">
        <f>IF(RDG!J11=0,"",RDG!J11)</f>
      </c>
      <c r="H114" s="12">
        <f aca="true" t="shared" si="12" ref="H114:H158">J114/100*F114+2*K114/100*F114</f>
        <v>785615.55</v>
      </c>
      <c r="I114" s="4">
        <f aca="true" t="shared" si="13" ref="I114:I158">ABS(ROUND(J114,0)-J114)+ABS(ROUND(K114,0)-K114)</f>
        <v>0</v>
      </c>
      <c r="J114" s="14">
        <f>RDG!K11</f>
        <v>488603</v>
      </c>
      <c r="K114" s="15">
        <f>RDG!L11</f>
        <v>103316</v>
      </c>
      <c r="L114" s="14"/>
      <c r="M114" s="13"/>
      <c r="N114" s="13"/>
      <c r="O114" s="13"/>
      <c r="P114" s="13"/>
      <c r="Q114" s="13"/>
      <c r="R114" s="13"/>
      <c r="S114" s="13"/>
      <c r="T114" s="13"/>
      <c r="U114" s="13"/>
      <c r="V114" s="13"/>
      <c r="W114" s="13"/>
      <c r="X114" s="15"/>
      <c r="Y114" s="4"/>
      <c r="Z114" s="4"/>
      <c r="AA114" s="4"/>
      <c r="AB114" s="4"/>
      <c r="AC114" s="16"/>
    </row>
    <row r="115" spans="1:29" ht="12.75">
      <c r="A115" s="10"/>
      <c r="B115" s="11"/>
      <c r="C115" s="4"/>
      <c r="D115" s="4" t="s">
        <v>93</v>
      </c>
      <c r="E115" s="4">
        <v>2</v>
      </c>
      <c r="F115" s="4">
        <f>RDG!I12</f>
        <v>114</v>
      </c>
      <c r="G115" s="4">
        <f>IF(RDG!J12=0,"",RDG!J12)</f>
      </c>
      <c r="H115" s="12">
        <f t="shared" si="12"/>
        <v>26549314.08</v>
      </c>
      <c r="I115" s="4">
        <f t="shared" si="13"/>
        <v>0</v>
      </c>
      <c r="J115" s="14">
        <f>RDG!K12</f>
        <v>8103892</v>
      </c>
      <c r="K115" s="15">
        <f>RDG!L12</f>
        <v>7592490</v>
      </c>
      <c r="L115" s="14"/>
      <c r="M115" s="13"/>
      <c r="N115" s="13"/>
      <c r="O115" s="13"/>
      <c r="P115" s="13"/>
      <c r="Q115" s="13"/>
      <c r="R115" s="13"/>
      <c r="S115" s="13"/>
      <c r="T115" s="13"/>
      <c r="U115" s="13"/>
      <c r="V115" s="13"/>
      <c r="W115" s="13"/>
      <c r="X115" s="15"/>
      <c r="Y115" s="4"/>
      <c r="Z115" s="4"/>
      <c r="AA115" s="4"/>
      <c r="AB115" s="4"/>
      <c r="AC115" s="16"/>
    </row>
    <row r="116" spans="1:29" ht="12.75">
      <c r="A116" s="10"/>
      <c r="B116" s="11"/>
      <c r="C116" s="4"/>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Y116" s="4"/>
      <c r="Z116" s="4"/>
      <c r="AA116" s="4"/>
      <c r="AB116" s="4"/>
      <c r="AC116" s="16"/>
    </row>
    <row r="117" spans="1:29" ht="12.75">
      <c r="A117" s="10"/>
      <c r="B117" s="11"/>
      <c r="C117" s="4"/>
      <c r="D117" s="4" t="s">
        <v>93</v>
      </c>
      <c r="E117" s="4">
        <v>2</v>
      </c>
      <c r="F117" s="4">
        <f>RDG!I14</f>
        <v>116</v>
      </c>
      <c r="G117" s="4">
        <f>IF(RDG!J14=0,"",RDG!J14)</f>
      </c>
      <c r="H117" s="12">
        <f t="shared" si="12"/>
        <v>9228258.2</v>
      </c>
      <c r="I117" s="4">
        <f t="shared" si="13"/>
        <v>0</v>
      </c>
      <c r="J117" s="14">
        <f>RDG!K14</f>
        <v>3099005</v>
      </c>
      <c r="K117" s="15">
        <f>RDG!L14</f>
        <v>2428195</v>
      </c>
      <c r="L117" s="14"/>
      <c r="M117" s="13"/>
      <c r="N117" s="13"/>
      <c r="O117" s="13"/>
      <c r="P117" s="13"/>
      <c r="Q117" s="13"/>
      <c r="R117" s="13"/>
      <c r="S117" s="13"/>
      <c r="T117" s="13"/>
      <c r="U117" s="13"/>
      <c r="V117" s="13"/>
      <c r="W117" s="13"/>
      <c r="X117" s="15"/>
      <c r="Y117" s="4"/>
      <c r="Z117" s="4"/>
      <c r="AA117" s="4"/>
      <c r="AB117" s="4"/>
      <c r="AC117" s="16"/>
    </row>
    <row r="118" spans="1:29" ht="12.75">
      <c r="A118" s="10"/>
      <c r="B118" s="11"/>
      <c r="C118" s="4"/>
      <c r="D118" s="4" t="s">
        <v>93</v>
      </c>
      <c r="E118" s="4">
        <v>2</v>
      </c>
      <c r="F118" s="4">
        <f>RDG!I15</f>
        <v>117</v>
      </c>
      <c r="G118" s="4">
        <f>IF(RDG!J15=0,"",RDG!J15)</f>
      </c>
      <c r="H118" s="12">
        <f t="shared" si="12"/>
        <v>5710786.380000001</v>
      </c>
      <c r="I118" s="4">
        <f t="shared" si="13"/>
        <v>0</v>
      </c>
      <c r="J118" s="14">
        <f>RDG!K15</f>
        <v>1972658</v>
      </c>
      <c r="K118" s="15">
        <f>RDG!L15</f>
        <v>1454178</v>
      </c>
      <c r="L118" s="14"/>
      <c r="M118" s="13"/>
      <c r="N118" s="13"/>
      <c r="O118" s="13"/>
      <c r="P118" s="13"/>
      <c r="Q118" s="13"/>
      <c r="R118" s="13"/>
      <c r="S118" s="13"/>
      <c r="T118" s="13"/>
      <c r="U118" s="13"/>
      <c r="V118" s="13"/>
      <c r="W118" s="13"/>
      <c r="X118" s="15"/>
      <c r="Y118" s="4"/>
      <c r="Z118" s="4"/>
      <c r="AA118" s="4"/>
      <c r="AB118" s="4"/>
      <c r="AC118" s="16"/>
    </row>
    <row r="119" spans="1:29" ht="12.75">
      <c r="A119" s="10"/>
      <c r="B119" s="11"/>
      <c r="C119" s="4"/>
      <c r="D119" s="4" t="s">
        <v>93</v>
      </c>
      <c r="E119" s="4">
        <v>2</v>
      </c>
      <c r="F119" s="4">
        <f>RDG!I16</f>
        <v>118</v>
      </c>
      <c r="G119" s="4">
        <f>IF(RDG!J16=0,"",RDG!J16)</f>
      </c>
      <c r="H119" s="12">
        <f t="shared" si="12"/>
        <v>530846.6</v>
      </c>
      <c r="I119" s="4">
        <f t="shared" si="13"/>
        <v>0</v>
      </c>
      <c r="J119" s="14">
        <f>RDG!K16</f>
        <v>144872</v>
      </c>
      <c r="K119" s="15">
        <f>RDG!L16</f>
        <v>152499</v>
      </c>
      <c r="L119" s="14"/>
      <c r="M119" s="13"/>
      <c r="N119" s="13"/>
      <c r="O119" s="13"/>
      <c r="P119" s="13"/>
      <c r="Q119" s="13"/>
      <c r="R119" s="13"/>
      <c r="S119" s="13"/>
      <c r="T119" s="13"/>
      <c r="U119" s="13"/>
      <c r="V119" s="13"/>
      <c r="W119" s="13"/>
      <c r="X119" s="15"/>
      <c r="Y119" s="4"/>
      <c r="Z119" s="4"/>
      <c r="AA119" s="4"/>
      <c r="AB119" s="4"/>
      <c r="AC119" s="16"/>
    </row>
    <row r="120" spans="1:29" ht="12.75">
      <c r="A120" s="10"/>
      <c r="B120" s="11"/>
      <c r="C120" s="4"/>
      <c r="D120" s="4" t="s">
        <v>93</v>
      </c>
      <c r="E120" s="4">
        <v>2</v>
      </c>
      <c r="F120" s="4">
        <f>RDG!I17</f>
        <v>119</v>
      </c>
      <c r="G120" s="4">
        <f>IF(RDG!J17=0,"",RDG!J17)</f>
      </c>
      <c r="H120" s="12">
        <f t="shared" si="12"/>
        <v>3123168.09</v>
      </c>
      <c r="I120" s="4">
        <f t="shared" si="13"/>
        <v>0</v>
      </c>
      <c r="J120" s="14">
        <f>RDG!K17</f>
        <v>981475</v>
      </c>
      <c r="K120" s="15">
        <f>RDG!L17</f>
        <v>821518</v>
      </c>
      <c r="L120" s="14"/>
      <c r="M120" s="13"/>
      <c r="N120" s="13"/>
      <c r="O120" s="13"/>
      <c r="P120" s="13"/>
      <c r="Q120" s="13"/>
      <c r="R120" s="13"/>
      <c r="S120" s="13"/>
      <c r="T120" s="13"/>
      <c r="U120" s="13"/>
      <c r="V120" s="13"/>
      <c r="W120" s="13"/>
      <c r="X120" s="15"/>
      <c r="Y120" s="4"/>
      <c r="Z120" s="4"/>
      <c r="AA120" s="4"/>
      <c r="AB120" s="4"/>
      <c r="AC120" s="16"/>
    </row>
    <row r="121" spans="1:29" ht="12.75">
      <c r="A121" s="10"/>
      <c r="B121" s="11"/>
      <c r="C121" s="4"/>
      <c r="D121" s="4" t="s">
        <v>93</v>
      </c>
      <c r="E121" s="4">
        <v>2</v>
      </c>
      <c r="F121" s="4">
        <f>RDG!I18</f>
        <v>120</v>
      </c>
      <c r="G121" s="4">
        <f>IF(RDG!J18=0,"",RDG!J18)</f>
      </c>
      <c r="H121" s="12">
        <f t="shared" si="12"/>
        <v>16444694.4</v>
      </c>
      <c r="I121" s="4">
        <f t="shared" si="13"/>
        <v>0</v>
      </c>
      <c r="J121" s="14">
        <f>RDG!K18</f>
        <v>4433062</v>
      </c>
      <c r="K121" s="15">
        <f>RDG!L18</f>
        <v>4635425</v>
      </c>
      <c r="L121" s="14"/>
      <c r="M121" s="13"/>
      <c r="N121" s="13"/>
      <c r="O121" s="13"/>
      <c r="P121" s="13"/>
      <c r="Q121" s="13"/>
      <c r="R121" s="13"/>
      <c r="S121" s="13"/>
      <c r="T121" s="13"/>
      <c r="U121" s="13"/>
      <c r="V121" s="13"/>
      <c r="W121" s="13"/>
      <c r="X121" s="15"/>
      <c r="Y121" s="4"/>
      <c r="Z121" s="4"/>
      <c r="AA121" s="4"/>
      <c r="AB121" s="4"/>
      <c r="AC121" s="16"/>
    </row>
    <row r="122" spans="1:29" ht="12.75">
      <c r="A122" s="10"/>
      <c r="B122" s="11"/>
      <c r="C122" s="4"/>
      <c r="D122" s="4" t="s">
        <v>93</v>
      </c>
      <c r="E122" s="4">
        <v>2</v>
      </c>
      <c r="F122" s="4">
        <f>RDG!I19</f>
        <v>121</v>
      </c>
      <c r="G122" s="4">
        <f>IF(RDG!J19=0,"",RDG!J19)</f>
      </c>
      <c r="H122" s="12">
        <f t="shared" si="12"/>
        <v>11413795.69</v>
      </c>
      <c r="I122" s="4">
        <f t="shared" si="13"/>
        <v>0</v>
      </c>
      <c r="J122" s="14">
        <f>RDG!K19</f>
        <v>3059711</v>
      </c>
      <c r="K122" s="15">
        <f>RDG!L19</f>
        <v>3186589</v>
      </c>
      <c r="L122" s="14"/>
      <c r="M122" s="13"/>
      <c r="N122" s="13"/>
      <c r="O122" s="13"/>
      <c r="P122" s="13"/>
      <c r="Q122" s="13"/>
      <c r="R122" s="13"/>
      <c r="S122" s="13"/>
      <c r="T122" s="13"/>
      <c r="U122" s="13"/>
      <c r="V122" s="13"/>
      <c r="W122" s="13"/>
      <c r="X122" s="15"/>
      <c r="Y122" s="4"/>
      <c r="Z122" s="4"/>
      <c r="AA122" s="4"/>
      <c r="AB122" s="4"/>
      <c r="AC122" s="16"/>
    </row>
    <row r="123" spans="1:29" ht="12.75">
      <c r="A123" s="10"/>
      <c r="B123" s="11"/>
      <c r="C123" s="4"/>
      <c r="D123" s="4" t="s">
        <v>93</v>
      </c>
      <c r="E123" s="4">
        <v>2</v>
      </c>
      <c r="F123" s="4">
        <f>RDG!I20</f>
        <v>122</v>
      </c>
      <c r="G123" s="4">
        <f>IF(RDG!J20=0,"",RDG!J20)</f>
      </c>
      <c r="H123" s="12">
        <f t="shared" si="12"/>
        <v>3186740.0399999996</v>
      </c>
      <c r="I123" s="4">
        <f t="shared" si="13"/>
        <v>0</v>
      </c>
      <c r="J123" s="14">
        <f>RDG!K20</f>
        <v>863906</v>
      </c>
      <c r="K123" s="15">
        <f>RDG!L20</f>
        <v>874088</v>
      </c>
      <c r="L123" s="14"/>
      <c r="M123" s="13"/>
      <c r="N123" s="13"/>
      <c r="O123" s="13"/>
      <c r="P123" s="13"/>
      <c r="Q123" s="13"/>
      <c r="R123" s="13"/>
      <c r="S123" s="13"/>
      <c r="T123" s="13"/>
      <c r="U123" s="13"/>
      <c r="V123" s="13"/>
      <c r="W123" s="13"/>
      <c r="X123" s="15"/>
      <c r="Y123" s="4"/>
      <c r="Z123" s="4"/>
      <c r="AA123" s="4"/>
      <c r="AB123" s="4"/>
      <c r="AC123" s="16"/>
    </row>
    <row r="124" spans="1:29" ht="12.75">
      <c r="A124" s="10"/>
      <c r="B124" s="11"/>
      <c r="C124" s="4"/>
      <c r="D124" s="4" t="s">
        <v>93</v>
      </c>
      <c r="E124" s="4">
        <v>2</v>
      </c>
      <c r="F124" s="4">
        <f>RDG!I21</f>
        <v>123</v>
      </c>
      <c r="G124" s="4">
        <f>IF(RDG!J21=0,"",RDG!J21)</f>
      </c>
      <c r="H124" s="12">
        <f t="shared" si="12"/>
        <v>2040497.4299999997</v>
      </c>
      <c r="I124" s="4">
        <f t="shared" si="13"/>
        <v>0</v>
      </c>
      <c r="J124" s="14">
        <f>RDG!K21</f>
        <v>509445</v>
      </c>
      <c r="K124" s="15">
        <f>RDG!L21</f>
        <v>574748</v>
      </c>
      <c r="L124" s="14"/>
      <c r="M124" s="13"/>
      <c r="N124" s="13"/>
      <c r="O124" s="13"/>
      <c r="P124" s="13"/>
      <c r="Q124" s="13"/>
      <c r="R124" s="13"/>
      <c r="S124" s="13"/>
      <c r="T124" s="13"/>
      <c r="U124" s="13"/>
      <c r="V124" s="13"/>
      <c r="W124" s="13"/>
      <c r="X124" s="15"/>
      <c r="Y124" s="4"/>
      <c r="Z124" s="4"/>
      <c r="AA124" s="4"/>
      <c r="AB124" s="4"/>
      <c r="AC124" s="16"/>
    </row>
    <row r="125" spans="1:29" ht="12.75">
      <c r="A125" s="10"/>
      <c r="B125" s="11"/>
      <c r="C125" s="4"/>
      <c r="D125" s="4" t="s">
        <v>93</v>
      </c>
      <c r="E125" s="4">
        <v>2</v>
      </c>
      <c r="F125" s="4">
        <f>RDG!I22</f>
        <v>124</v>
      </c>
      <c r="G125" s="4">
        <f>IF(RDG!J22=0,"",RDG!J22)</f>
      </c>
      <c r="H125" s="12">
        <f t="shared" si="12"/>
        <v>1545656.28</v>
      </c>
      <c r="I125" s="4">
        <f t="shared" si="13"/>
        <v>0</v>
      </c>
      <c r="J125" s="14">
        <f>RDG!K22</f>
        <v>444639</v>
      </c>
      <c r="K125" s="15">
        <f>RDG!L22</f>
        <v>400929</v>
      </c>
      <c r="L125" s="14"/>
      <c r="M125" s="13"/>
      <c r="N125" s="13"/>
      <c r="O125" s="13"/>
      <c r="P125" s="13"/>
      <c r="Q125" s="13"/>
      <c r="R125" s="13"/>
      <c r="S125" s="13"/>
      <c r="T125" s="13"/>
      <c r="U125" s="13"/>
      <c r="V125" s="13"/>
      <c r="W125" s="13"/>
      <c r="X125" s="15"/>
      <c r="Y125" s="4"/>
      <c r="Z125" s="4"/>
      <c r="AA125" s="4"/>
      <c r="AB125" s="4"/>
      <c r="AC125" s="16"/>
    </row>
    <row r="126" spans="1:29" ht="12.75">
      <c r="A126" s="10"/>
      <c r="B126" s="11"/>
      <c r="C126" s="4"/>
      <c r="D126" s="4" t="s">
        <v>93</v>
      </c>
      <c r="E126" s="4">
        <v>2</v>
      </c>
      <c r="F126" s="4">
        <f>RDG!I23</f>
        <v>125</v>
      </c>
      <c r="G126" s="4">
        <f>IF(RDG!J23=0,"",RDG!J23)</f>
      </c>
      <c r="H126" s="12">
        <f t="shared" si="12"/>
        <v>478835</v>
      </c>
      <c r="I126" s="4">
        <f t="shared" si="13"/>
        <v>0</v>
      </c>
      <c r="J126" s="14">
        <f>RDG!K23</f>
        <v>127186</v>
      </c>
      <c r="K126" s="15">
        <f>RDG!L23</f>
        <v>127941</v>
      </c>
      <c r="L126" s="14"/>
      <c r="M126" s="13"/>
      <c r="N126" s="13"/>
      <c r="O126" s="13"/>
      <c r="P126" s="13"/>
      <c r="Q126" s="13"/>
      <c r="R126" s="13"/>
      <c r="S126" s="13"/>
      <c r="T126" s="13"/>
      <c r="U126" s="13"/>
      <c r="V126" s="13"/>
      <c r="W126" s="13"/>
      <c r="X126" s="15"/>
      <c r="Y126" s="4"/>
      <c r="Z126" s="4"/>
      <c r="AA126" s="4"/>
      <c r="AB126" s="4"/>
      <c r="AC126" s="16"/>
    </row>
    <row r="127" spans="1:29" ht="12.75">
      <c r="A127" s="10"/>
      <c r="B127" s="11"/>
      <c r="C127" s="4"/>
      <c r="D127" s="4" t="s">
        <v>93</v>
      </c>
      <c r="E127" s="4">
        <v>2</v>
      </c>
      <c r="F127" s="4">
        <f>RDG!I24</f>
        <v>126</v>
      </c>
      <c r="G127" s="4">
        <f>IF(RDG!J24=0,"",RDG!J24)</f>
      </c>
      <c r="H127" s="12">
        <f t="shared" si="12"/>
        <v>0</v>
      </c>
      <c r="I127" s="4">
        <f t="shared" si="13"/>
        <v>0</v>
      </c>
      <c r="J127" s="14">
        <f>RDG!K24</f>
        <v>0</v>
      </c>
      <c r="K127" s="15">
        <f>RDG!L24</f>
        <v>0</v>
      </c>
      <c r="L127" s="14"/>
      <c r="M127" s="13"/>
      <c r="N127" s="13"/>
      <c r="O127" s="13"/>
      <c r="P127" s="13"/>
      <c r="Q127" s="13"/>
      <c r="R127" s="13"/>
      <c r="S127" s="13"/>
      <c r="T127" s="13"/>
      <c r="U127" s="13"/>
      <c r="V127" s="13"/>
      <c r="W127" s="13"/>
      <c r="X127" s="15"/>
      <c r="Y127" s="4"/>
      <c r="Z127" s="4"/>
      <c r="AA127" s="4"/>
      <c r="AB127" s="4"/>
      <c r="AC127" s="16"/>
    </row>
    <row r="128" spans="1:29" ht="12.75">
      <c r="A128" s="10"/>
      <c r="B128" s="11"/>
      <c r="C128" s="4"/>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Y128" s="4"/>
      <c r="Z128" s="4"/>
      <c r="AA128" s="4"/>
      <c r="AB128" s="4"/>
      <c r="AC128" s="16"/>
    </row>
    <row r="129" spans="1:29" ht="12.75">
      <c r="A129" s="10"/>
      <c r="B129" s="11"/>
      <c r="C129" s="4"/>
      <c r="D129" s="4" t="s">
        <v>93</v>
      </c>
      <c r="E129" s="4">
        <v>2</v>
      </c>
      <c r="F129" s="4">
        <f>RDG!I26</f>
        <v>128</v>
      </c>
      <c r="G129" s="4">
        <f>IF(RDG!J26=0,"",RDG!J26)</f>
      </c>
      <c r="H129" s="12">
        <f t="shared" si="12"/>
        <v>0</v>
      </c>
      <c r="I129" s="4">
        <f t="shared" si="13"/>
        <v>0</v>
      </c>
      <c r="J129" s="14">
        <f>RDG!K26</f>
        <v>0</v>
      </c>
      <c r="K129" s="15">
        <f>RDG!L26</f>
        <v>0</v>
      </c>
      <c r="L129" s="14"/>
      <c r="M129" s="13"/>
      <c r="N129" s="13"/>
      <c r="O129" s="13"/>
      <c r="P129" s="13"/>
      <c r="Q129" s="13"/>
      <c r="R129" s="13"/>
      <c r="S129" s="13"/>
      <c r="T129" s="13"/>
      <c r="U129" s="13"/>
      <c r="V129" s="13"/>
      <c r="W129" s="13"/>
      <c r="X129" s="15"/>
      <c r="Y129" s="4"/>
      <c r="Z129" s="4"/>
      <c r="AA129" s="4"/>
      <c r="AB129" s="4"/>
      <c r="AC129" s="16"/>
    </row>
    <row r="130" spans="1:29" ht="12.75">
      <c r="A130" s="10"/>
      <c r="B130" s="11"/>
      <c r="C130" s="4"/>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Y130" s="4"/>
      <c r="Z130" s="4"/>
      <c r="AA130" s="4"/>
      <c r="AB130" s="4"/>
      <c r="AC130" s="16"/>
    </row>
    <row r="131" spans="1:29" ht="12.75">
      <c r="A131" s="10"/>
      <c r="B131" s="11"/>
      <c r="C131" s="4"/>
      <c r="D131" s="4" t="s">
        <v>93</v>
      </c>
      <c r="E131" s="4">
        <v>2</v>
      </c>
      <c r="F131" s="4">
        <f>RDG!I28</f>
        <v>130</v>
      </c>
      <c r="G131" s="4">
        <f>IF(RDG!J28=0,"",RDG!J28)</f>
      </c>
      <c r="H131" s="12">
        <f t="shared" si="12"/>
        <v>0</v>
      </c>
      <c r="I131" s="4">
        <f t="shared" si="13"/>
        <v>0</v>
      </c>
      <c r="J131" s="14">
        <f>RDG!K28</f>
        <v>0</v>
      </c>
      <c r="K131" s="15">
        <f>RDG!L28</f>
        <v>0</v>
      </c>
      <c r="L131" s="14"/>
      <c r="M131" s="13"/>
      <c r="N131" s="13"/>
      <c r="O131" s="13"/>
      <c r="P131" s="13"/>
      <c r="Q131" s="13"/>
      <c r="R131" s="13"/>
      <c r="S131" s="13"/>
      <c r="T131" s="13"/>
      <c r="U131" s="13"/>
      <c r="V131" s="13"/>
      <c r="W131" s="13"/>
      <c r="X131" s="15"/>
      <c r="Y131" s="4"/>
      <c r="Z131" s="4"/>
      <c r="AA131" s="4"/>
      <c r="AB131" s="4"/>
      <c r="AC131" s="16"/>
    </row>
    <row r="132" spans="1:29" ht="12.75">
      <c r="A132" s="10"/>
      <c r="B132" s="11"/>
      <c r="C132" s="4"/>
      <c r="D132" s="4" t="s">
        <v>93</v>
      </c>
      <c r="E132" s="4">
        <v>2</v>
      </c>
      <c r="F132" s="4">
        <f>RDG!I29</f>
        <v>131</v>
      </c>
      <c r="G132" s="4">
        <f>IF(RDG!J29=0,"",RDG!J29)</f>
      </c>
      <c r="H132" s="12">
        <f t="shared" si="12"/>
        <v>329415.22</v>
      </c>
      <c r="I132" s="4">
        <f t="shared" si="13"/>
        <v>0</v>
      </c>
      <c r="J132" s="14">
        <f>RDG!K29</f>
        <v>83604</v>
      </c>
      <c r="K132" s="15">
        <f>RDG!L29</f>
        <v>83929</v>
      </c>
      <c r="L132" s="14"/>
      <c r="M132" s="13"/>
      <c r="N132" s="13"/>
      <c r="O132" s="13"/>
      <c r="P132" s="13"/>
      <c r="Q132" s="13"/>
      <c r="R132" s="13"/>
      <c r="S132" s="13"/>
      <c r="T132" s="13"/>
      <c r="U132" s="13"/>
      <c r="V132" s="13"/>
      <c r="W132" s="13"/>
      <c r="X132" s="15"/>
      <c r="Y132" s="4"/>
      <c r="Z132" s="4"/>
      <c r="AA132" s="4"/>
      <c r="AB132" s="4"/>
      <c r="AC132" s="16"/>
    </row>
    <row r="133" spans="1:29" ht="12.75">
      <c r="A133" s="10"/>
      <c r="B133" s="11"/>
      <c r="C133" s="4"/>
      <c r="D133" s="4" t="s">
        <v>93</v>
      </c>
      <c r="E133" s="4">
        <v>2</v>
      </c>
      <c r="F133" s="4">
        <f>RDG!I30</f>
        <v>132</v>
      </c>
      <c r="G133" s="4">
        <f>IF(RDG!J30=0,"",RDG!J30)</f>
      </c>
      <c r="H133" s="12">
        <f t="shared" si="12"/>
        <v>331929.83999999997</v>
      </c>
      <c r="I133" s="4">
        <f t="shared" si="13"/>
        <v>0</v>
      </c>
      <c r="J133" s="14">
        <f>RDG!K30</f>
        <v>83604</v>
      </c>
      <c r="K133" s="15">
        <f>RDG!L30</f>
        <v>83929</v>
      </c>
      <c r="L133" s="14"/>
      <c r="M133" s="13"/>
      <c r="N133" s="13"/>
      <c r="O133" s="13"/>
      <c r="P133" s="13"/>
      <c r="Q133" s="13"/>
      <c r="R133" s="13"/>
      <c r="S133" s="13"/>
      <c r="T133" s="13"/>
      <c r="U133" s="13"/>
      <c r="V133" s="13"/>
      <c r="W133" s="13"/>
      <c r="X133" s="15"/>
      <c r="Y133" s="4"/>
      <c r="Z133" s="4"/>
      <c r="AA133" s="4"/>
      <c r="AB133" s="4"/>
      <c r="AC133" s="16"/>
    </row>
    <row r="134" spans="1:29" ht="12.75">
      <c r="A134" s="10"/>
      <c r="B134" s="11"/>
      <c r="C134" s="4"/>
      <c r="D134" s="4" t="s">
        <v>93</v>
      </c>
      <c r="E134" s="4">
        <v>2</v>
      </c>
      <c r="F134" s="4">
        <f>RDG!I31</f>
        <v>133</v>
      </c>
      <c r="G134" s="4">
        <f>IF(RDG!J31=0,"",RDG!J31)</f>
      </c>
      <c r="H134" s="12">
        <f t="shared" si="12"/>
        <v>0</v>
      </c>
      <c r="I134" s="4">
        <f t="shared" si="13"/>
        <v>0</v>
      </c>
      <c r="J134" s="14">
        <f>RDG!K31</f>
        <v>0</v>
      </c>
      <c r="K134" s="15">
        <f>RDG!L31</f>
        <v>0</v>
      </c>
      <c r="L134" s="14"/>
      <c r="M134" s="13"/>
      <c r="N134" s="13"/>
      <c r="O134" s="13"/>
      <c r="P134" s="13"/>
      <c r="Q134" s="13"/>
      <c r="R134" s="13"/>
      <c r="S134" s="13"/>
      <c r="T134" s="13"/>
      <c r="U134" s="13"/>
      <c r="V134" s="13"/>
      <c r="W134" s="13"/>
      <c r="X134" s="15"/>
      <c r="Y134" s="4"/>
      <c r="Z134" s="4"/>
      <c r="AA134" s="4"/>
      <c r="AB134" s="4"/>
      <c r="AC134" s="16"/>
    </row>
    <row r="135" spans="1:29" ht="12.75">
      <c r="A135" s="10"/>
      <c r="B135" s="11"/>
      <c r="C135" s="4"/>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Y135" s="4"/>
      <c r="Z135" s="4"/>
      <c r="AA135" s="4"/>
      <c r="AB135" s="4"/>
      <c r="AC135" s="16"/>
    </row>
    <row r="136" spans="1:29" ht="12.75">
      <c r="A136" s="10"/>
      <c r="B136" s="11"/>
      <c r="C136" s="4"/>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Y136" s="4"/>
      <c r="Z136" s="4"/>
      <c r="AA136" s="4"/>
      <c r="AB136" s="4"/>
      <c r="AC136" s="16"/>
    </row>
    <row r="137" spans="1:29" ht="12.75">
      <c r="A137" s="10"/>
      <c r="B137" s="11"/>
      <c r="C137" s="4"/>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Y137" s="4"/>
      <c r="Z137" s="4"/>
      <c r="AA137" s="4"/>
      <c r="AB137" s="4"/>
      <c r="AC137" s="16"/>
    </row>
    <row r="138" spans="1:29" ht="12.75">
      <c r="A138" s="10"/>
      <c r="B138" s="11"/>
      <c r="C138" s="4"/>
      <c r="D138" s="4" t="s">
        <v>93</v>
      </c>
      <c r="E138" s="4">
        <v>2</v>
      </c>
      <c r="F138" s="4">
        <f>RDG!I35</f>
        <v>137</v>
      </c>
      <c r="G138" s="4">
        <f>IF(RDG!J35=0,"",RDG!J35)</f>
      </c>
      <c r="H138" s="12">
        <f t="shared" si="12"/>
        <v>267287</v>
      </c>
      <c r="I138" s="4">
        <f t="shared" si="13"/>
        <v>0</v>
      </c>
      <c r="J138" s="14">
        <f>RDG!K35</f>
        <v>73620</v>
      </c>
      <c r="K138" s="15">
        <f>RDG!L35</f>
        <v>60740</v>
      </c>
      <c r="L138" s="14"/>
      <c r="M138" s="13"/>
      <c r="N138" s="13"/>
      <c r="O138" s="13"/>
      <c r="P138" s="13"/>
      <c r="Q138" s="13"/>
      <c r="R138" s="13"/>
      <c r="S138" s="13"/>
      <c r="T138" s="13"/>
      <c r="U138" s="13"/>
      <c r="V138" s="13"/>
      <c r="W138" s="13"/>
      <c r="X138" s="15"/>
      <c r="Y138" s="4"/>
      <c r="Z138" s="4"/>
      <c r="AA138" s="4"/>
      <c r="AB138" s="4"/>
      <c r="AC138" s="16"/>
    </row>
    <row r="139" spans="1:29" ht="12.75">
      <c r="A139" s="10"/>
      <c r="B139" s="11"/>
      <c r="C139" s="4"/>
      <c r="D139" s="4" t="s">
        <v>93</v>
      </c>
      <c r="E139" s="4">
        <v>2</v>
      </c>
      <c r="F139" s="4">
        <f>RDG!I36</f>
        <v>138</v>
      </c>
      <c r="G139" s="4">
        <f>IF(RDG!J36=0,"",RDG!J36)</f>
      </c>
      <c r="H139" s="12">
        <f t="shared" si="12"/>
        <v>269238</v>
      </c>
      <c r="I139" s="4">
        <f t="shared" si="13"/>
        <v>0</v>
      </c>
      <c r="J139" s="14">
        <f>RDG!K36</f>
        <v>73620</v>
      </c>
      <c r="K139" s="15">
        <f>RDG!L36</f>
        <v>60740</v>
      </c>
      <c r="L139" s="14"/>
      <c r="M139" s="13"/>
      <c r="N139" s="13"/>
      <c r="O139" s="13"/>
      <c r="P139" s="13"/>
      <c r="Q139" s="13"/>
      <c r="R139" s="13"/>
      <c r="S139" s="13"/>
      <c r="T139" s="13"/>
      <c r="U139" s="13"/>
      <c r="V139" s="13"/>
      <c r="W139" s="13"/>
      <c r="X139" s="15"/>
      <c r="Y139" s="4"/>
      <c r="Z139" s="4"/>
      <c r="AA139" s="4"/>
      <c r="AB139" s="4"/>
      <c r="AC139" s="16"/>
    </row>
    <row r="140" spans="1:29" ht="12.75">
      <c r="A140" s="10"/>
      <c r="B140" s="11"/>
      <c r="C140" s="4"/>
      <c r="D140" s="4" t="s">
        <v>93</v>
      </c>
      <c r="E140" s="4">
        <v>2</v>
      </c>
      <c r="F140" s="4">
        <f>RDG!I37</f>
        <v>139</v>
      </c>
      <c r="G140" s="4">
        <f>IF(RDG!J37=0,"",RDG!J37)</f>
      </c>
      <c r="H140" s="12">
        <f t="shared" si="12"/>
        <v>0</v>
      </c>
      <c r="I140" s="4">
        <f t="shared" si="13"/>
        <v>0</v>
      </c>
      <c r="J140" s="14">
        <f>RDG!K37</f>
        <v>0</v>
      </c>
      <c r="K140" s="15">
        <f>RDG!L37</f>
        <v>0</v>
      </c>
      <c r="L140" s="14"/>
      <c r="M140" s="13"/>
      <c r="N140" s="13"/>
      <c r="O140" s="13"/>
      <c r="P140" s="13"/>
      <c r="Q140" s="13"/>
      <c r="R140" s="13"/>
      <c r="S140" s="13"/>
      <c r="T140" s="13"/>
      <c r="U140" s="13"/>
      <c r="V140" s="13"/>
      <c r="W140" s="13"/>
      <c r="X140" s="15"/>
      <c r="Y140" s="4"/>
      <c r="Z140" s="4"/>
      <c r="AA140" s="4"/>
      <c r="AB140" s="4"/>
      <c r="AC140" s="16"/>
    </row>
    <row r="141" spans="1:29" ht="12.75">
      <c r="A141" s="10"/>
      <c r="B141" s="11"/>
      <c r="C141" s="4"/>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Y141" s="4"/>
      <c r="Z141" s="4"/>
      <c r="AA141" s="4"/>
      <c r="AB141" s="4"/>
      <c r="AC141" s="16"/>
    </row>
    <row r="142" spans="1:29" ht="12.75">
      <c r="A142" s="10"/>
      <c r="B142" s="11"/>
      <c r="C142" s="4"/>
      <c r="D142" s="4" t="s">
        <v>93</v>
      </c>
      <c r="E142" s="4">
        <v>2</v>
      </c>
      <c r="F142" s="4">
        <f>RDG!I39</f>
        <v>141</v>
      </c>
      <c r="G142" s="4">
        <f>IF(RDG!J39=0,"",RDG!J39)</f>
      </c>
      <c r="H142" s="12">
        <f t="shared" si="12"/>
        <v>0</v>
      </c>
      <c r="I142" s="4">
        <f t="shared" si="13"/>
        <v>0</v>
      </c>
      <c r="J142" s="14">
        <f>RDG!K39</f>
        <v>0</v>
      </c>
      <c r="K142" s="15">
        <f>RDG!L39</f>
        <v>0</v>
      </c>
      <c r="L142" s="14"/>
      <c r="M142" s="13"/>
      <c r="N142" s="13"/>
      <c r="O142" s="13"/>
      <c r="P142" s="13"/>
      <c r="Q142" s="13"/>
      <c r="R142" s="13"/>
      <c r="S142" s="13"/>
      <c r="T142" s="13"/>
      <c r="U142" s="13"/>
      <c r="V142" s="13"/>
      <c r="W142" s="13"/>
      <c r="X142" s="15"/>
      <c r="Y142" s="4"/>
      <c r="Z142" s="4"/>
      <c r="AA142" s="4"/>
      <c r="AB142" s="4"/>
      <c r="AC142" s="16"/>
    </row>
    <row r="143" spans="1:29" ht="12.75">
      <c r="A143" s="10"/>
      <c r="B143" s="11"/>
      <c r="C143" s="4"/>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Y143" s="4"/>
      <c r="Z143" s="4"/>
      <c r="AA143" s="4"/>
      <c r="AB143" s="4"/>
      <c r="AC143" s="16"/>
    </row>
    <row r="144" spans="1:29" ht="12.75">
      <c r="A144" s="10"/>
      <c r="B144" s="11"/>
      <c r="C144" s="4"/>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Y144" s="4"/>
      <c r="Z144" s="4"/>
      <c r="AA144" s="4"/>
      <c r="AB144" s="4"/>
      <c r="AC144" s="16"/>
    </row>
    <row r="145" spans="1:29" ht="12.75">
      <c r="A145" s="10"/>
      <c r="B145" s="11"/>
      <c r="C145" s="4"/>
      <c r="D145" s="4" t="s">
        <v>93</v>
      </c>
      <c r="E145" s="4">
        <v>2</v>
      </c>
      <c r="F145" s="4">
        <f>RDG!I42</f>
        <v>144</v>
      </c>
      <c r="G145" s="4">
        <f>IF(RDG!J42=0,"",RDG!J42)</f>
      </c>
      <c r="H145" s="12">
        <f t="shared" si="12"/>
        <v>91880.63999999998</v>
      </c>
      <c r="I145" s="4">
        <f t="shared" si="13"/>
        <v>0</v>
      </c>
      <c r="J145" s="14">
        <f>RDG!K42</f>
        <v>8678</v>
      </c>
      <c r="K145" s="15">
        <f>RDG!L42</f>
        <v>27564</v>
      </c>
      <c r="L145" s="14"/>
      <c r="M145" s="13"/>
      <c r="N145" s="13"/>
      <c r="O145" s="13"/>
      <c r="P145" s="13"/>
      <c r="Q145" s="13"/>
      <c r="R145" s="13"/>
      <c r="S145" s="13"/>
      <c r="T145" s="13"/>
      <c r="U145" s="13"/>
      <c r="V145" s="13"/>
      <c r="W145" s="13"/>
      <c r="X145" s="15"/>
      <c r="Y145" s="4"/>
      <c r="Z145" s="4"/>
      <c r="AA145" s="4"/>
      <c r="AB145" s="4"/>
      <c r="AC145" s="16"/>
    </row>
    <row r="146" spans="1:29" ht="12.75">
      <c r="A146" s="10"/>
      <c r="B146" s="11"/>
      <c r="C146" s="4"/>
      <c r="D146" s="4" t="s">
        <v>93</v>
      </c>
      <c r="E146" s="4">
        <v>2</v>
      </c>
      <c r="F146" s="4">
        <f>RDG!I43</f>
        <v>145</v>
      </c>
      <c r="G146" s="4">
        <f>IF(RDG!J43=0,"",RDG!J43)</f>
      </c>
      <c r="H146" s="12">
        <f t="shared" si="12"/>
        <v>403298.65</v>
      </c>
      <c r="I146" s="4">
        <f t="shared" si="13"/>
        <v>0</v>
      </c>
      <c r="J146" s="14">
        <f>RDG!K43</f>
        <v>67957</v>
      </c>
      <c r="K146" s="15">
        <f>RDG!L43</f>
        <v>105090</v>
      </c>
      <c r="L146" s="14"/>
      <c r="M146" s="13"/>
      <c r="N146" s="13"/>
      <c r="O146" s="13"/>
      <c r="P146" s="13"/>
      <c r="Q146" s="13"/>
      <c r="R146" s="13"/>
      <c r="S146" s="13"/>
      <c r="T146" s="13"/>
      <c r="U146" s="13"/>
      <c r="V146" s="13"/>
      <c r="W146" s="13"/>
      <c r="X146" s="15"/>
      <c r="Y146" s="4"/>
      <c r="Z146" s="4"/>
      <c r="AA146" s="4"/>
      <c r="AB146" s="4"/>
      <c r="AC146" s="16"/>
    </row>
    <row r="147" spans="1:29" ht="12.75">
      <c r="A147" s="10"/>
      <c r="B147" s="11"/>
      <c r="C147" s="4"/>
      <c r="D147" s="4" t="s">
        <v>93</v>
      </c>
      <c r="E147" s="4">
        <v>2</v>
      </c>
      <c r="F147" s="4">
        <f>RDG!I44</f>
        <v>146</v>
      </c>
      <c r="G147" s="4">
        <f>IF(RDG!J44=0,"",RDG!J44)</f>
      </c>
      <c r="H147" s="12">
        <f t="shared" si="12"/>
        <v>35106716.16</v>
      </c>
      <c r="I147" s="4">
        <f t="shared" si="13"/>
        <v>0</v>
      </c>
      <c r="J147" s="14">
        <f>RDG!K44</f>
        <v>8326680</v>
      </c>
      <c r="K147" s="15">
        <f>RDG!L44</f>
        <v>7859508</v>
      </c>
      <c r="L147" s="14"/>
      <c r="M147" s="13"/>
      <c r="N147" s="13"/>
      <c r="O147" s="13"/>
      <c r="P147" s="13"/>
      <c r="Q147" s="13"/>
      <c r="R147" s="13"/>
      <c r="S147" s="13"/>
      <c r="T147" s="13"/>
      <c r="U147" s="13"/>
      <c r="V147" s="13"/>
      <c r="W147" s="13"/>
      <c r="X147" s="15"/>
      <c r="Y147" s="4"/>
      <c r="Z147" s="4"/>
      <c r="AA147" s="4"/>
      <c r="AB147" s="4"/>
      <c r="AC147" s="16"/>
    </row>
    <row r="148" spans="1:29" ht="12.75">
      <c r="A148" s="10"/>
      <c r="B148" s="11"/>
      <c r="C148" s="4"/>
      <c r="D148" s="4" t="s">
        <v>93</v>
      </c>
      <c r="E148" s="4">
        <v>2</v>
      </c>
      <c r="F148" s="4">
        <f>RDG!I45</f>
        <v>147</v>
      </c>
      <c r="G148" s="4">
        <f>IF(RDG!J45=0,"",RDG!J45)</f>
      </c>
      <c r="H148" s="12">
        <f t="shared" si="12"/>
        <v>34930300.230000004</v>
      </c>
      <c r="I148" s="4">
        <f t="shared" si="13"/>
        <v>0</v>
      </c>
      <c r="J148" s="14">
        <f>RDG!K45</f>
        <v>8245469</v>
      </c>
      <c r="K148" s="15">
        <f>RDG!L45</f>
        <v>7758320</v>
      </c>
      <c r="L148" s="14"/>
      <c r="M148" s="13"/>
      <c r="N148" s="13"/>
      <c r="O148" s="13"/>
      <c r="P148" s="13"/>
      <c r="Q148" s="13"/>
      <c r="R148" s="13"/>
      <c r="S148" s="13"/>
      <c r="T148" s="13"/>
      <c r="U148" s="13"/>
      <c r="V148" s="13"/>
      <c r="W148" s="13"/>
      <c r="X148" s="15"/>
      <c r="Y148" s="4"/>
      <c r="Z148" s="4"/>
      <c r="AA148" s="4"/>
      <c r="AB148" s="4"/>
      <c r="AC148" s="16"/>
    </row>
    <row r="149" spans="1:29" ht="12.75">
      <c r="A149" s="10"/>
      <c r="B149" s="11"/>
      <c r="C149" s="4"/>
      <c r="D149" s="4" t="s">
        <v>93</v>
      </c>
      <c r="E149" s="4">
        <v>2</v>
      </c>
      <c r="F149" s="4">
        <f>RDG!I46</f>
        <v>148</v>
      </c>
      <c r="G149" s="4">
        <f>IF(RDG!J46=0,"",RDG!J46)</f>
      </c>
      <c r="H149" s="12">
        <f t="shared" si="12"/>
        <v>419708.76</v>
      </c>
      <c r="I149" s="4">
        <f t="shared" si="13"/>
        <v>0</v>
      </c>
      <c r="J149" s="14">
        <f>RDG!K46</f>
        <v>81211</v>
      </c>
      <c r="K149" s="15">
        <f>RDG!L46</f>
        <v>101188</v>
      </c>
      <c r="L149" s="14"/>
      <c r="M149" s="13"/>
      <c r="N149" s="13"/>
      <c r="O149" s="13"/>
      <c r="P149" s="13"/>
      <c r="Q149" s="13"/>
      <c r="R149" s="13"/>
      <c r="S149" s="13"/>
      <c r="T149" s="13"/>
      <c r="U149" s="13"/>
      <c r="V149" s="13"/>
      <c r="W149" s="13"/>
      <c r="X149" s="15"/>
      <c r="Y149" s="4"/>
      <c r="Z149" s="4"/>
      <c r="AA149" s="4"/>
      <c r="AB149" s="4"/>
      <c r="AC149" s="16"/>
    </row>
    <row r="150" spans="1:29" ht="12.75">
      <c r="A150" s="10"/>
      <c r="B150" s="11"/>
      <c r="C150" s="4"/>
      <c r="D150" s="4" t="s">
        <v>93</v>
      </c>
      <c r="E150" s="4">
        <v>2</v>
      </c>
      <c r="F150" s="4">
        <f>RDG!I47</f>
        <v>149</v>
      </c>
      <c r="G150" s="4">
        <f>IF(RDG!J47=0,"",RDG!J47)</f>
      </c>
      <c r="H150" s="12">
        <f t="shared" si="12"/>
        <v>422544.63</v>
      </c>
      <c r="I150" s="4">
        <f t="shared" si="13"/>
        <v>0</v>
      </c>
      <c r="J150" s="14">
        <f>RDG!K47</f>
        <v>81211</v>
      </c>
      <c r="K150" s="15">
        <f>RDG!L47</f>
        <v>101188</v>
      </c>
      <c r="L150" s="14"/>
      <c r="M150" s="13"/>
      <c r="N150" s="13"/>
      <c r="O150" s="13"/>
      <c r="P150" s="13"/>
      <c r="Q150" s="13"/>
      <c r="R150" s="13"/>
      <c r="S150" s="13"/>
      <c r="T150" s="13"/>
      <c r="U150" s="13"/>
      <c r="V150" s="13"/>
      <c r="W150" s="13"/>
      <c r="X150" s="15"/>
      <c r="Y150" s="4"/>
      <c r="Z150" s="4"/>
      <c r="AA150" s="4"/>
      <c r="AB150" s="4"/>
      <c r="AC150" s="16"/>
    </row>
    <row r="151" spans="1:29" ht="12.75">
      <c r="A151" s="10"/>
      <c r="B151" s="11"/>
      <c r="C151" s="4"/>
      <c r="D151" s="4" t="s">
        <v>93</v>
      </c>
      <c r="E151" s="4">
        <v>2</v>
      </c>
      <c r="F151" s="4">
        <f>RDG!I48</f>
        <v>150</v>
      </c>
      <c r="G151" s="4">
        <f>IF(RDG!J48=0,"",RDG!J48)</f>
      </c>
      <c r="H151" s="12">
        <f t="shared" si="12"/>
        <v>0</v>
      </c>
      <c r="I151" s="4">
        <f t="shared" si="13"/>
        <v>0</v>
      </c>
      <c r="J151" s="14">
        <f>RDG!K48</f>
        <v>0</v>
      </c>
      <c r="K151" s="15">
        <f>RDG!L48</f>
        <v>0</v>
      </c>
      <c r="L151" s="14"/>
      <c r="M151" s="13"/>
      <c r="N151" s="13"/>
      <c r="O151" s="13"/>
      <c r="P151" s="13"/>
      <c r="Q151" s="13"/>
      <c r="R151" s="13"/>
      <c r="S151" s="13"/>
      <c r="T151" s="13"/>
      <c r="U151" s="13"/>
      <c r="V151" s="13"/>
      <c r="W151" s="13"/>
      <c r="X151" s="15"/>
      <c r="Y151" s="4"/>
      <c r="Z151" s="4"/>
      <c r="AA151" s="4"/>
      <c r="AB151" s="4"/>
      <c r="AC151" s="16"/>
    </row>
    <row r="152" spans="1:29" ht="12.75">
      <c r="A152" s="10"/>
      <c r="B152" s="11"/>
      <c r="C152" s="4"/>
      <c r="D152" s="4" t="s">
        <v>93</v>
      </c>
      <c r="E152" s="4">
        <v>2</v>
      </c>
      <c r="F152" s="4">
        <f>RDG!I49</f>
        <v>151</v>
      </c>
      <c r="G152" s="4">
        <f>IF(RDG!J49=0,"",RDG!J49)</f>
      </c>
      <c r="H152" s="12">
        <f t="shared" si="12"/>
        <v>162497.13999999998</v>
      </c>
      <c r="I152" s="4">
        <f t="shared" si="13"/>
        <v>0</v>
      </c>
      <c r="J152" s="14">
        <f>RDG!K49</f>
        <v>29408</v>
      </c>
      <c r="K152" s="15">
        <f>RDG!L49</f>
        <v>39103</v>
      </c>
      <c r="L152" s="14"/>
      <c r="M152" s="13"/>
      <c r="N152" s="13"/>
      <c r="O152" s="13"/>
      <c r="P152" s="13"/>
      <c r="Q152" s="13"/>
      <c r="R152" s="13"/>
      <c r="S152" s="13"/>
      <c r="T152" s="13"/>
      <c r="U152" s="13"/>
      <c r="V152" s="13"/>
      <c r="W152" s="13"/>
      <c r="X152" s="15"/>
      <c r="Y152" s="4"/>
      <c r="Z152" s="4"/>
      <c r="AA152" s="4"/>
      <c r="AB152" s="4"/>
      <c r="AC152" s="16"/>
    </row>
    <row r="153" spans="1:29" ht="12.75">
      <c r="A153" s="10"/>
      <c r="B153" s="11"/>
      <c r="C153" s="4"/>
      <c r="D153" s="4" t="s">
        <v>93</v>
      </c>
      <c r="E153" s="4">
        <v>2</v>
      </c>
      <c r="F153" s="4">
        <f>RDG!I50</f>
        <v>152</v>
      </c>
      <c r="G153" s="4">
        <f>IF(RDG!J50=0,"",RDG!J50)</f>
      </c>
      <c r="H153" s="12">
        <f t="shared" si="12"/>
        <v>267478.95999999996</v>
      </c>
      <c r="I153" s="4">
        <f t="shared" si="13"/>
        <v>0</v>
      </c>
      <c r="J153" s="14">
        <f>RDG!K50</f>
        <v>51803</v>
      </c>
      <c r="K153" s="15">
        <f>RDG!L50</f>
        <v>62085</v>
      </c>
      <c r="L153" s="14"/>
      <c r="M153" s="13"/>
      <c r="N153" s="13"/>
      <c r="O153" s="13"/>
      <c r="P153" s="13"/>
      <c r="Q153" s="13"/>
      <c r="R153" s="13"/>
      <c r="S153" s="13"/>
      <c r="T153" s="13"/>
      <c r="U153" s="13"/>
      <c r="V153" s="13"/>
      <c r="W153" s="13"/>
      <c r="X153" s="15"/>
      <c r="Y153" s="4"/>
      <c r="Z153" s="4"/>
      <c r="AA153" s="4"/>
      <c r="AB153" s="4"/>
      <c r="AC153" s="16"/>
    </row>
    <row r="154" spans="1:29" ht="12.75">
      <c r="A154" s="10"/>
      <c r="B154" s="11"/>
      <c r="C154" s="4"/>
      <c r="D154" s="4" t="s">
        <v>93</v>
      </c>
      <c r="E154" s="4">
        <v>2</v>
      </c>
      <c r="F154" s="4">
        <f>RDG!I51</f>
        <v>153</v>
      </c>
      <c r="G154" s="4">
        <f>IF(RDG!J51=0,"",RDG!J51)</f>
      </c>
      <c r="H154" s="12">
        <f t="shared" si="12"/>
        <v>269238.69</v>
      </c>
      <c r="I154" s="4">
        <f t="shared" si="13"/>
        <v>0</v>
      </c>
      <c r="J154" s="14">
        <f>RDG!K51</f>
        <v>51803</v>
      </c>
      <c r="K154" s="15">
        <f>RDG!L51</f>
        <v>62085</v>
      </c>
      <c r="L154" s="14"/>
      <c r="M154" s="13"/>
      <c r="N154" s="13"/>
      <c r="O154" s="13"/>
      <c r="P154" s="13"/>
      <c r="Q154" s="13"/>
      <c r="R154" s="13"/>
      <c r="S154" s="13"/>
      <c r="T154" s="13"/>
      <c r="U154" s="13"/>
      <c r="V154" s="13"/>
      <c r="W154" s="13"/>
      <c r="X154" s="15"/>
      <c r="Y154" s="4"/>
      <c r="Z154" s="4"/>
      <c r="AA154" s="4"/>
      <c r="AB154" s="4"/>
      <c r="AC154" s="16"/>
    </row>
    <row r="155" spans="1:29" ht="12.75">
      <c r="A155" s="10"/>
      <c r="B155" s="11"/>
      <c r="C155" s="4"/>
      <c r="D155" s="4" t="s">
        <v>93</v>
      </c>
      <c r="E155" s="4">
        <v>2</v>
      </c>
      <c r="F155" s="4">
        <f>RDG!I52</f>
        <v>154</v>
      </c>
      <c r="G155" s="4">
        <f>IF(RDG!J52=0,"",RDG!J52)</f>
      </c>
      <c r="H155" s="12">
        <f t="shared" si="12"/>
        <v>0</v>
      </c>
      <c r="I155" s="4">
        <f t="shared" si="13"/>
        <v>0</v>
      </c>
      <c r="J155" s="14">
        <f>RDG!K52</f>
        <v>0</v>
      </c>
      <c r="K155" s="15">
        <f>RDG!L52</f>
        <v>0</v>
      </c>
      <c r="L155" s="14"/>
      <c r="M155" s="13"/>
      <c r="N155" s="13"/>
      <c r="O155" s="13"/>
      <c r="P155" s="13"/>
      <c r="Q155" s="13"/>
      <c r="R155" s="13"/>
      <c r="S155" s="13"/>
      <c r="T155" s="13"/>
      <c r="U155" s="13"/>
      <c r="V155" s="13"/>
      <c r="W155" s="13"/>
      <c r="X155" s="15"/>
      <c r="Y155" s="4"/>
      <c r="Z155" s="4"/>
      <c r="AA155" s="4"/>
      <c r="AB155" s="4"/>
      <c r="AC155" s="16"/>
    </row>
    <row r="156" spans="1:29" ht="12.75">
      <c r="A156" s="10"/>
      <c r="B156" s="11"/>
      <c r="C156" s="4"/>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Y156" s="4"/>
      <c r="Z156" s="4"/>
      <c r="AA156" s="4"/>
      <c r="AB156" s="4"/>
      <c r="AC156" s="16"/>
    </row>
    <row r="157" spans="1:29" ht="12.75">
      <c r="A157" s="10"/>
      <c r="B157" s="11"/>
      <c r="C157" s="4"/>
      <c r="D157" s="4" t="s">
        <v>93</v>
      </c>
      <c r="E157" s="4">
        <v>2</v>
      </c>
      <c r="F157" s="4">
        <f>RDG!I56</f>
        <v>156</v>
      </c>
      <c r="G157" s="4">
        <f>IF(RDG!J56=0,"",RDG!J56)</f>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Y157" s="4"/>
      <c r="Z157" s="4"/>
      <c r="AA157" s="4"/>
      <c r="AB157" s="4"/>
      <c r="AC157" s="16"/>
    </row>
    <row r="158" spans="1:29" ht="12.75">
      <c r="A158" s="10"/>
      <c r="B158" s="11"/>
      <c r="C158" s="4"/>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Y158" s="4"/>
      <c r="Z158" s="4"/>
      <c r="AA158" s="4"/>
      <c r="AB158" s="4"/>
      <c r="AC158" s="16"/>
    </row>
    <row r="159" spans="1:29" ht="12.75">
      <c r="A159" s="10"/>
      <c r="B159" s="11"/>
      <c r="C159" s="4"/>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Y159" s="4"/>
      <c r="Z159" s="4"/>
      <c r="AA159" s="4"/>
      <c r="AB159" s="4"/>
      <c r="AC159" s="16"/>
    </row>
    <row r="160" spans="1:29" ht="12.75">
      <c r="A160" s="10"/>
      <c r="B160" s="11"/>
      <c r="C160" s="4"/>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Y160" s="4"/>
      <c r="Z160" s="4"/>
      <c r="AA160" s="4"/>
      <c r="AB160" s="4"/>
      <c r="AC160" s="16"/>
    </row>
    <row r="161" spans="1:29" ht="12.75">
      <c r="A161" s="10"/>
      <c r="B161" s="11"/>
      <c r="C161" s="4"/>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Y161" s="4"/>
      <c r="Z161" s="4"/>
      <c r="AA161" s="4"/>
      <c r="AB161" s="4"/>
      <c r="AC161" s="16"/>
    </row>
    <row r="162" spans="1:29" ht="12.75">
      <c r="A162" s="10"/>
      <c r="B162" s="11"/>
      <c r="C162" s="4"/>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Y162" s="4"/>
      <c r="Z162" s="4"/>
      <c r="AA162" s="4"/>
      <c r="AB162" s="4"/>
      <c r="AC162" s="16"/>
    </row>
    <row r="163" spans="1:29" ht="12.75">
      <c r="A163" s="10"/>
      <c r="B163" s="11"/>
      <c r="C163" s="4"/>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Y163" s="4"/>
      <c r="Z163" s="4"/>
      <c r="AA163" s="4"/>
      <c r="AB163" s="4"/>
      <c r="AC163" s="16"/>
    </row>
    <row r="164" spans="1:29" ht="12.75">
      <c r="A164" s="10"/>
      <c r="B164" s="11"/>
      <c r="C164" s="4"/>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Y164" s="4"/>
      <c r="Z164" s="4"/>
      <c r="AA164" s="4"/>
      <c r="AB164" s="4"/>
      <c r="AC164" s="16"/>
    </row>
    <row r="165" spans="1:29" ht="12.75">
      <c r="A165" s="10"/>
      <c r="B165" s="11"/>
      <c r="C165" s="4"/>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Y165" s="4"/>
      <c r="Z165" s="4"/>
      <c r="AA165" s="4"/>
      <c r="AB165" s="4"/>
      <c r="AC165" s="16"/>
    </row>
    <row r="166" spans="1:29" ht="12.75">
      <c r="A166" s="10"/>
      <c r="B166" s="11"/>
      <c r="C166" s="4"/>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Y166" s="4"/>
      <c r="Z166" s="4"/>
      <c r="AA166" s="4"/>
      <c r="AB166" s="4"/>
      <c r="AC166" s="16"/>
    </row>
    <row r="167" spans="1:29" ht="12.75">
      <c r="A167" s="10"/>
      <c r="B167" s="11"/>
      <c r="C167" s="4"/>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Y167" s="4"/>
      <c r="Z167" s="4"/>
      <c r="AA167" s="4"/>
      <c r="AB167" s="4"/>
      <c r="AC167" s="16"/>
    </row>
    <row r="168" spans="1:29" ht="12.75">
      <c r="A168" s="10"/>
      <c r="B168" s="11"/>
      <c r="C168" s="4"/>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Y168" s="4"/>
      <c r="Z168" s="4"/>
      <c r="AA168" s="4"/>
      <c r="AB168" s="4"/>
      <c r="AC168" s="16"/>
    </row>
    <row r="169" spans="1:29" ht="12.75">
      <c r="A169" s="10"/>
      <c r="B169" s="11"/>
      <c r="C169" s="4"/>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Y169" s="4"/>
      <c r="Z169" s="4"/>
      <c r="AA169" s="4"/>
      <c r="AB169" s="4"/>
      <c r="AC169" s="16"/>
    </row>
    <row r="170" spans="1:29" ht="12.75">
      <c r="A170" s="10"/>
      <c r="B170" s="11"/>
      <c r="C170" s="4"/>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Y170" s="4"/>
      <c r="Z170" s="4"/>
      <c r="AA170" s="4"/>
      <c r="AB170" s="4"/>
      <c r="AC170" s="16"/>
    </row>
    <row r="171" spans="1:29" ht="12.75">
      <c r="A171" s="10"/>
      <c r="B171" s="11"/>
      <c r="C171" s="4"/>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Y171" s="4"/>
      <c r="Z171" s="4"/>
      <c r="AA171" s="4"/>
      <c r="AB171" s="4"/>
      <c r="AC171" s="16"/>
    </row>
    <row r="172" spans="1:29" ht="12.75">
      <c r="A172" s="10"/>
      <c r="B172" s="11"/>
      <c r="C172" s="4"/>
      <c r="D172" s="4" t="s">
        <v>94</v>
      </c>
      <c r="E172" s="4">
        <v>3</v>
      </c>
      <c r="F172" s="4">
        <f>PodDop!J10</f>
        <v>171</v>
      </c>
      <c r="G172" s="4"/>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Y172" s="4"/>
      <c r="Z172" s="4"/>
      <c r="AA172" s="4"/>
      <c r="AB172" s="4"/>
      <c r="AC172" s="16"/>
    </row>
    <row r="173" spans="1:29" ht="12.75">
      <c r="A173" s="10"/>
      <c r="B173" s="11"/>
      <c r="C173" s="4"/>
      <c r="D173" s="4" t="s">
        <v>94</v>
      </c>
      <c r="E173" s="4">
        <v>3</v>
      </c>
      <c r="F173" s="4">
        <f>PodDop!J11</f>
        <v>172</v>
      </c>
      <c r="G173" s="4"/>
      <c r="H173" s="12">
        <f>J173/100*F173+2*K173/100*F173</f>
        <v>0</v>
      </c>
      <c r="I173" s="4">
        <f>ABS(ROUND(J173,0)-J173)+ABS(ROUND(K173,0)-K173)</f>
        <v>0</v>
      </c>
      <c r="J173" s="14">
        <f>PodDop!K11</f>
        <v>0</v>
      </c>
      <c r="K173" s="15">
        <f>PodDop!L11</f>
        <v>0</v>
      </c>
      <c r="L173" s="14"/>
      <c r="M173" s="13"/>
      <c r="N173" s="13"/>
      <c r="O173" s="13"/>
      <c r="P173" s="13"/>
      <c r="Q173" s="13"/>
      <c r="R173" s="13"/>
      <c r="S173" s="13"/>
      <c r="T173" s="13"/>
      <c r="U173" s="13"/>
      <c r="V173" s="13"/>
      <c r="W173" s="13"/>
      <c r="X173" s="15"/>
      <c r="Y173" s="4"/>
      <c r="Z173" s="4"/>
      <c r="AA173" s="4"/>
      <c r="AB173" s="4"/>
      <c r="AC173" s="16"/>
    </row>
    <row r="174" spans="1:29" ht="12.75">
      <c r="A174" s="10"/>
      <c r="B174" s="11"/>
      <c r="C174" s="4"/>
      <c r="D174" s="4" t="s">
        <v>94</v>
      </c>
      <c r="E174" s="4">
        <v>3</v>
      </c>
      <c r="F174" s="4">
        <f>PodDop!J12</f>
        <v>173</v>
      </c>
      <c r="G174" s="4"/>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Y174" s="4"/>
      <c r="Z174" s="4"/>
      <c r="AA174" s="4"/>
      <c r="AB174" s="4"/>
      <c r="AC174" s="16"/>
    </row>
    <row r="175" spans="1:29" ht="12.75">
      <c r="A175" s="10"/>
      <c r="B175" s="11"/>
      <c r="C175" s="4"/>
      <c r="D175" s="4" t="s">
        <v>94</v>
      </c>
      <c r="E175" s="4">
        <v>3</v>
      </c>
      <c r="F175" s="4">
        <f>PodDop!J13</f>
        <v>174</v>
      </c>
      <c r="G175" s="4"/>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Y175" s="4"/>
      <c r="Z175" s="4"/>
      <c r="AA175" s="4"/>
      <c r="AB175" s="4"/>
      <c r="AC175" s="16"/>
    </row>
    <row r="176" spans="1:29" ht="12.75">
      <c r="A176" s="10"/>
      <c r="B176" s="11"/>
      <c r="C176" s="4"/>
      <c r="D176" s="4" t="s">
        <v>94</v>
      </c>
      <c r="E176" s="4">
        <v>3</v>
      </c>
      <c r="F176" s="4">
        <f>PodDop!J14</f>
        <v>175</v>
      </c>
      <c r="G176" s="4"/>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Y176" s="4"/>
      <c r="Z176" s="4"/>
      <c r="AA176" s="4"/>
      <c r="AB176" s="4"/>
      <c r="AC176" s="16"/>
    </row>
    <row r="177" spans="1:29" ht="12.75">
      <c r="A177" s="10"/>
      <c r="B177" s="11"/>
      <c r="C177" s="4"/>
      <c r="D177" s="4" t="s">
        <v>94</v>
      </c>
      <c r="E177" s="4">
        <v>3</v>
      </c>
      <c r="F177" s="4">
        <f>PodDop!J15</f>
        <v>176</v>
      </c>
      <c r="G177" s="4"/>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Y177" s="4"/>
      <c r="Z177" s="4"/>
      <c r="AA177" s="4"/>
      <c r="AB177" s="4"/>
      <c r="AC177" s="16"/>
    </row>
    <row r="178" spans="1:29" ht="12.75">
      <c r="A178" s="10"/>
      <c r="B178" s="11"/>
      <c r="C178" s="4"/>
      <c r="D178" s="4" t="s">
        <v>94</v>
      </c>
      <c r="E178" s="4">
        <v>3</v>
      </c>
      <c r="F178" s="4">
        <f>PodDop!J16</f>
        <v>177</v>
      </c>
      <c r="G178" s="4"/>
      <c r="H178" s="12">
        <f t="shared" si="16"/>
        <v>0</v>
      </c>
      <c r="I178" s="4">
        <f t="shared" si="17"/>
        <v>0</v>
      </c>
      <c r="J178" s="14">
        <f>PodDop!K16</f>
        <v>0</v>
      </c>
      <c r="K178" s="15">
        <f>PodDop!L16</f>
        <v>0</v>
      </c>
      <c r="L178" s="14"/>
      <c r="M178" s="13"/>
      <c r="N178" s="13"/>
      <c r="O178" s="13"/>
      <c r="P178" s="13"/>
      <c r="Q178" s="13"/>
      <c r="R178" s="13"/>
      <c r="S178" s="13"/>
      <c r="T178" s="13"/>
      <c r="U178" s="13"/>
      <c r="V178" s="13"/>
      <c r="W178" s="13"/>
      <c r="X178" s="15"/>
      <c r="Y178" s="4"/>
      <c r="Z178" s="4"/>
      <c r="AA178" s="4"/>
      <c r="AB178" s="4"/>
      <c r="AC178" s="16"/>
    </row>
    <row r="179" spans="1:29" ht="12.75">
      <c r="A179" s="10"/>
      <c r="B179" s="11"/>
      <c r="C179" s="4"/>
      <c r="D179" s="4" t="s">
        <v>94</v>
      </c>
      <c r="E179" s="4">
        <v>3</v>
      </c>
      <c r="F179" s="4">
        <f>PodDop!J17</f>
        <v>178</v>
      </c>
      <c r="G179" s="4"/>
      <c r="H179" s="12">
        <f t="shared" si="16"/>
        <v>0</v>
      </c>
      <c r="I179" s="4">
        <f t="shared" si="17"/>
        <v>0</v>
      </c>
      <c r="J179" s="14">
        <f>PodDop!K17</f>
        <v>0</v>
      </c>
      <c r="K179" s="15">
        <f>PodDop!L17</f>
        <v>0</v>
      </c>
      <c r="L179" s="14"/>
      <c r="M179" s="13"/>
      <c r="N179" s="13"/>
      <c r="O179" s="13"/>
      <c r="P179" s="13"/>
      <c r="Q179" s="13"/>
      <c r="R179" s="13"/>
      <c r="S179" s="13"/>
      <c r="T179" s="13"/>
      <c r="U179" s="13"/>
      <c r="V179" s="13"/>
      <c r="W179" s="13"/>
      <c r="X179" s="15"/>
      <c r="Y179" s="4"/>
      <c r="Z179" s="4"/>
      <c r="AA179" s="4"/>
      <c r="AB179" s="4"/>
      <c r="AC179" s="16"/>
    </row>
    <row r="180" spans="1:29" ht="12.75">
      <c r="A180" s="10"/>
      <c r="B180" s="11"/>
      <c r="C180" s="4"/>
      <c r="D180" s="4" t="s">
        <v>94</v>
      </c>
      <c r="E180" s="4">
        <v>3</v>
      </c>
      <c r="F180" s="4">
        <f>PodDop!J18</f>
        <v>179</v>
      </c>
      <c r="G180" s="4"/>
      <c r="H180" s="12">
        <f t="shared" si="16"/>
        <v>0</v>
      </c>
      <c r="I180" s="4">
        <f t="shared" si="17"/>
        <v>0</v>
      </c>
      <c r="J180" s="14">
        <f>PodDop!K18</f>
        <v>0</v>
      </c>
      <c r="K180" s="15">
        <f>PodDop!L18</f>
        <v>0</v>
      </c>
      <c r="L180" s="14"/>
      <c r="M180" s="13"/>
      <c r="N180" s="13"/>
      <c r="O180" s="13"/>
      <c r="P180" s="13"/>
      <c r="Q180" s="13"/>
      <c r="R180" s="13"/>
      <c r="S180" s="13"/>
      <c r="T180" s="13"/>
      <c r="U180" s="13"/>
      <c r="V180" s="13"/>
      <c r="W180" s="13"/>
      <c r="X180" s="15"/>
      <c r="Y180" s="4"/>
      <c r="Z180" s="4"/>
      <c r="AA180" s="4"/>
      <c r="AB180" s="4"/>
      <c r="AC180" s="16"/>
    </row>
    <row r="181" spans="1:29" ht="12.75">
      <c r="A181" s="10"/>
      <c r="B181" s="11"/>
      <c r="C181" s="4"/>
      <c r="D181" s="4" t="s">
        <v>94</v>
      </c>
      <c r="E181" s="4">
        <v>3</v>
      </c>
      <c r="F181" s="4">
        <f>PodDop!J19</f>
        <v>180</v>
      </c>
      <c r="G181" s="4"/>
      <c r="H181" s="12">
        <f t="shared" si="16"/>
        <v>0</v>
      </c>
      <c r="I181" s="4">
        <f t="shared" si="17"/>
        <v>0</v>
      </c>
      <c r="J181" s="14">
        <f>PodDop!K19</f>
        <v>0</v>
      </c>
      <c r="K181" s="15">
        <f>PodDop!L19</f>
        <v>0</v>
      </c>
      <c r="L181" s="14"/>
      <c r="M181" s="13"/>
      <c r="N181" s="13"/>
      <c r="O181" s="13"/>
      <c r="P181" s="13"/>
      <c r="Q181" s="13"/>
      <c r="R181" s="13"/>
      <c r="S181" s="13"/>
      <c r="T181" s="13"/>
      <c r="U181" s="13"/>
      <c r="V181" s="13"/>
      <c r="W181" s="13"/>
      <c r="X181" s="15"/>
      <c r="Y181" s="4"/>
      <c r="Z181" s="4"/>
      <c r="AA181" s="4"/>
      <c r="AB181" s="4"/>
      <c r="AC181" s="16"/>
    </row>
    <row r="182" spans="1:29" ht="12.75">
      <c r="A182" s="10"/>
      <c r="B182" s="11"/>
      <c r="C182" s="4"/>
      <c r="D182" s="4" t="s">
        <v>94</v>
      </c>
      <c r="E182" s="4">
        <v>3</v>
      </c>
      <c r="F182" s="4">
        <f>PodDop!J20</f>
        <v>181</v>
      </c>
      <c r="G182" s="4"/>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Y182" s="4"/>
      <c r="Z182" s="4"/>
      <c r="AA182" s="4"/>
      <c r="AB182" s="4"/>
      <c r="AC182" s="16"/>
    </row>
    <row r="183" spans="1:29" ht="12.75">
      <c r="A183" s="10"/>
      <c r="B183" s="11"/>
      <c r="C183" s="4"/>
      <c r="D183" s="4" t="s">
        <v>94</v>
      </c>
      <c r="E183" s="4">
        <v>3</v>
      </c>
      <c r="F183" s="4">
        <f>PodDop!J21</f>
        <v>182</v>
      </c>
      <c r="G183" s="4"/>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Y183" s="4"/>
      <c r="Z183" s="4"/>
      <c r="AA183" s="4"/>
      <c r="AB183" s="4"/>
      <c r="AC183" s="16"/>
    </row>
    <row r="184" spans="1:29" ht="12.75">
      <c r="A184" s="10"/>
      <c r="B184" s="11"/>
      <c r="C184" s="4"/>
      <c r="D184" s="4" t="s">
        <v>94</v>
      </c>
      <c r="E184" s="4">
        <v>3</v>
      </c>
      <c r="F184" s="4">
        <f>PodDop!J22</f>
        <v>183</v>
      </c>
      <c r="G184" s="4"/>
      <c r="H184" s="12">
        <f t="shared" si="16"/>
        <v>0</v>
      </c>
      <c r="I184" s="4">
        <f t="shared" si="17"/>
        <v>0</v>
      </c>
      <c r="J184" s="14">
        <f>PodDop!K22</f>
        <v>0</v>
      </c>
      <c r="K184" s="15">
        <f>PodDop!L22</f>
        <v>0</v>
      </c>
      <c r="L184" s="14"/>
      <c r="M184" s="13"/>
      <c r="N184" s="13"/>
      <c r="O184" s="13"/>
      <c r="P184" s="13"/>
      <c r="Q184" s="13"/>
      <c r="R184" s="13"/>
      <c r="S184" s="13"/>
      <c r="T184" s="13"/>
      <c r="U184" s="13"/>
      <c r="V184" s="13"/>
      <c r="W184" s="13"/>
      <c r="X184" s="15"/>
      <c r="Y184" s="4"/>
      <c r="Z184" s="4"/>
      <c r="AA184" s="4"/>
      <c r="AB184" s="4"/>
      <c r="AC184" s="16"/>
    </row>
    <row r="185" spans="1:29" ht="12.75">
      <c r="A185" s="10"/>
      <c r="B185" s="11"/>
      <c r="C185" s="4"/>
      <c r="D185" s="4" t="s">
        <v>94</v>
      </c>
      <c r="E185" s="4">
        <v>3</v>
      </c>
      <c r="F185" s="4">
        <f>PodDop!J23</f>
        <v>184</v>
      </c>
      <c r="G185" s="4"/>
      <c r="H185" s="12">
        <f t="shared" si="16"/>
        <v>0</v>
      </c>
      <c r="I185" s="4">
        <f t="shared" si="17"/>
        <v>0</v>
      </c>
      <c r="J185" s="14">
        <f>PodDop!K23</f>
        <v>0</v>
      </c>
      <c r="K185" s="15">
        <f>PodDop!L23</f>
        <v>0</v>
      </c>
      <c r="L185" s="14"/>
      <c r="M185" s="13"/>
      <c r="N185" s="13"/>
      <c r="O185" s="13"/>
      <c r="P185" s="13"/>
      <c r="Q185" s="13"/>
      <c r="R185" s="13"/>
      <c r="S185" s="13"/>
      <c r="T185" s="13"/>
      <c r="U185" s="13"/>
      <c r="V185" s="13"/>
      <c r="W185" s="13"/>
      <c r="X185" s="15"/>
      <c r="Y185" s="4"/>
      <c r="Z185" s="4"/>
      <c r="AA185" s="4"/>
      <c r="AB185" s="4"/>
      <c r="AC185" s="16"/>
    </row>
    <row r="186" spans="1:29" ht="12.75">
      <c r="A186" s="10"/>
      <c r="B186" s="11"/>
      <c r="C186" s="4"/>
      <c r="D186" s="4" t="s">
        <v>94</v>
      </c>
      <c r="E186" s="4">
        <v>3</v>
      </c>
      <c r="F186" s="4">
        <f>PodDop!J24</f>
        <v>185</v>
      </c>
      <c r="G186" s="4"/>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Y186" s="4"/>
      <c r="Z186" s="4"/>
      <c r="AA186" s="4"/>
      <c r="AB186" s="4"/>
      <c r="AC186" s="16"/>
    </row>
    <row r="187" spans="1:29" ht="12.75">
      <c r="A187" s="10"/>
      <c r="B187" s="11"/>
      <c r="C187" s="4"/>
      <c r="D187" s="4" t="s">
        <v>94</v>
      </c>
      <c r="E187" s="4">
        <v>3</v>
      </c>
      <c r="F187" s="4">
        <f>PodDop!J25</f>
        <v>186</v>
      </c>
      <c r="G187" s="4"/>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Y187" s="4"/>
      <c r="Z187" s="4"/>
      <c r="AA187" s="4"/>
      <c r="AB187" s="4"/>
      <c r="AC187" s="16"/>
    </row>
    <row r="188" spans="1:29" ht="12.75">
      <c r="A188" s="10"/>
      <c r="B188" s="11"/>
      <c r="C188" s="4"/>
      <c r="D188" s="4" t="s">
        <v>94</v>
      </c>
      <c r="E188" s="4">
        <v>3</v>
      </c>
      <c r="F188" s="4">
        <f>PodDop!J26</f>
        <v>187</v>
      </c>
      <c r="G188" s="4"/>
      <c r="H188" s="12">
        <f t="shared" si="16"/>
        <v>0</v>
      </c>
      <c r="I188" s="4">
        <f t="shared" si="17"/>
        <v>0</v>
      </c>
      <c r="J188" s="14">
        <f>PodDop!K26</f>
        <v>0</v>
      </c>
      <c r="K188" s="15">
        <f>PodDop!L26</f>
        <v>0</v>
      </c>
      <c r="L188" s="14"/>
      <c r="M188" s="13"/>
      <c r="N188" s="13"/>
      <c r="O188" s="13"/>
      <c r="P188" s="13"/>
      <c r="Q188" s="13"/>
      <c r="R188" s="13"/>
      <c r="S188" s="13"/>
      <c r="T188" s="13"/>
      <c r="U188" s="13"/>
      <c r="V188" s="13"/>
      <c r="W188" s="13"/>
      <c r="X188" s="15"/>
      <c r="Y188" s="4"/>
      <c r="Z188" s="4"/>
      <c r="AA188" s="4"/>
      <c r="AB188" s="4"/>
      <c r="AC188" s="16"/>
    </row>
    <row r="189" spans="1:29" ht="12.75">
      <c r="A189" s="10"/>
      <c r="B189" s="11"/>
      <c r="C189" s="4"/>
      <c r="D189" s="4" t="s">
        <v>94</v>
      </c>
      <c r="E189" s="4">
        <v>3</v>
      </c>
      <c r="F189" s="4">
        <f>PodDop!J27</f>
        <v>188</v>
      </c>
      <c r="G189" s="4"/>
      <c r="H189" s="12">
        <f t="shared" si="16"/>
        <v>0</v>
      </c>
      <c r="I189" s="4">
        <f t="shared" si="17"/>
        <v>0</v>
      </c>
      <c r="J189" s="14">
        <f>PodDop!K27</f>
        <v>0</v>
      </c>
      <c r="K189" s="15">
        <f>PodDop!L27</f>
        <v>0</v>
      </c>
      <c r="L189" s="14"/>
      <c r="M189" s="13"/>
      <c r="N189" s="13"/>
      <c r="O189" s="13"/>
      <c r="P189" s="13"/>
      <c r="Q189" s="13"/>
      <c r="R189" s="13"/>
      <c r="S189" s="13"/>
      <c r="T189" s="13"/>
      <c r="U189" s="13"/>
      <c r="V189" s="13"/>
      <c r="W189" s="13"/>
      <c r="X189" s="15"/>
      <c r="Y189" s="4"/>
      <c r="Z189" s="4"/>
      <c r="AA189" s="4"/>
      <c r="AB189" s="4"/>
      <c r="AC189" s="16"/>
    </row>
    <row r="190" spans="1:29" ht="12.75">
      <c r="A190" s="10"/>
      <c r="B190" s="11"/>
      <c r="C190" s="4"/>
      <c r="D190" s="4" t="s">
        <v>94</v>
      </c>
      <c r="E190" s="4">
        <v>3</v>
      </c>
      <c r="F190" s="4">
        <f>PodDop!J28</f>
        <v>189</v>
      </c>
      <c r="G190" s="4"/>
      <c r="H190" s="12">
        <f t="shared" si="16"/>
        <v>0</v>
      </c>
      <c r="I190" s="4">
        <f t="shared" si="17"/>
        <v>0</v>
      </c>
      <c r="J190" s="14">
        <f>PodDop!K28</f>
        <v>0</v>
      </c>
      <c r="K190" s="15">
        <f>PodDop!L28</f>
        <v>0</v>
      </c>
      <c r="L190" s="14"/>
      <c r="M190" s="13"/>
      <c r="N190" s="13"/>
      <c r="O190" s="13"/>
      <c r="P190" s="13"/>
      <c r="Q190" s="13"/>
      <c r="R190" s="13"/>
      <c r="S190" s="13"/>
      <c r="T190" s="13"/>
      <c r="U190" s="13"/>
      <c r="V190" s="13"/>
      <c r="W190" s="13"/>
      <c r="X190" s="15"/>
      <c r="Y190" s="4"/>
      <c r="Z190" s="4"/>
      <c r="AA190" s="4"/>
      <c r="AB190" s="4"/>
      <c r="AC190" s="16"/>
    </row>
    <row r="191" spans="1:29" ht="12.75">
      <c r="A191" s="10"/>
      <c r="B191" s="11"/>
      <c r="C191" s="4"/>
      <c r="D191" s="4" t="s">
        <v>94</v>
      </c>
      <c r="E191" s="4">
        <v>3</v>
      </c>
      <c r="F191" s="4">
        <f>PodDop!J29</f>
        <v>190</v>
      </c>
      <c r="G191" s="4"/>
      <c r="H191" s="12">
        <f t="shared" si="16"/>
        <v>0</v>
      </c>
      <c r="I191" s="4">
        <f t="shared" si="17"/>
        <v>0</v>
      </c>
      <c r="J191" s="14">
        <f>PodDop!K29</f>
        <v>0</v>
      </c>
      <c r="K191" s="15">
        <f>PodDop!L29</f>
        <v>0</v>
      </c>
      <c r="L191" s="14"/>
      <c r="M191" s="13"/>
      <c r="N191" s="13"/>
      <c r="O191" s="13"/>
      <c r="P191" s="13"/>
      <c r="Q191" s="13"/>
      <c r="R191" s="13"/>
      <c r="S191" s="13"/>
      <c r="T191" s="13"/>
      <c r="U191" s="13"/>
      <c r="V191" s="13"/>
      <c r="W191" s="13"/>
      <c r="X191" s="15"/>
      <c r="Y191" s="4"/>
      <c r="Z191" s="4"/>
      <c r="AA191" s="4"/>
      <c r="AB191" s="4"/>
      <c r="AC191" s="16"/>
    </row>
    <row r="192" spans="1:29" ht="12.75">
      <c r="A192" s="10"/>
      <c r="B192" s="11"/>
      <c r="C192" s="4"/>
      <c r="D192" s="4" t="s">
        <v>94</v>
      </c>
      <c r="E192" s="4">
        <v>3</v>
      </c>
      <c r="F192" s="4">
        <f>PodDop!J30</f>
        <v>191</v>
      </c>
      <c r="G192" s="4"/>
      <c r="H192" s="12">
        <f t="shared" si="16"/>
        <v>0</v>
      </c>
      <c r="I192" s="4">
        <f t="shared" si="17"/>
        <v>0</v>
      </c>
      <c r="J192" s="14">
        <f>PodDop!K30</f>
        <v>0</v>
      </c>
      <c r="K192" s="15">
        <f>PodDop!L30</f>
        <v>0</v>
      </c>
      <c r="L192" s="14"/>
      <c r="M192" s="13"/>
      <c r="N192" s="13"/>
      <c r="O192" s="13"/>
      <c r="P192" s="13"/>
      <c r="Q192" s="13"/>
      <c r="R192" s="13"/>
      <c r="S192" s="13"/>
      <c r="T192" s="13"/>
      <c r="U192" s="13"/>
      <c r="V192" s="13"/>
      <c r="W192" s="13"/>
      <c r="X192" s="15"/>
      <c r="Y192" s="4"/>
      <c r="Z192" s="4"/>
      <c r="AA192" s="4"/>
      <c r="AB192" s="4"/>
      <c r="AC192" s="16"/>
    </row>
    <row r="193" spans="1:29" ht="12.75">
      <c r="A193" s="10"/>
      <c r="B193" s="11"/>
      <c r="C193" s="4"/>
      <c r="D193" s="4" t="s">
        <v>94</v>
      </c>
      <c r="E193" s="4">
        <v>3</v>
      </c>
      <c r="F193" s="4">
        <f>PodDop!J31</f>
        <v>192</v>
      </c>
      <c r="G193" s="4"/>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Y193" s="4"/>
      <c r="Z193" s="4"/>
      <c r="AA193" s="4"/>
      <c r="AB193" s="4"/>
      <c r="AC193" s="16"/>
    </row>
    <row r="194" spans="1:29" ht="12.75">
      <c r="A194" s="10"/>
      <c r="B194" s="11"/>
      <c r="C194" s="4"/>
      <c r="D194" s="4" t="s">
        <v>94</v>
      </c>
      <c r="E194" s="4">
        <v>3</v>
      </c>
      <c r="F194" s="4">
        <f>PodDop!J32</f>
        <v>193</v>
      </c>
      <c r="G194" s="4"/>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Y194" s="4"/>
      <c r="Z194" s="4"/>
      <c r="AA194" s="4"/>
      <c r="AB194" s="4"/>
      <c r="AC194" s="16"/>
    </row>
    <row r="195" spans="1:29" ht="12.75">
      <c r="A195" s="10"/>
      <c r="B195" s="11"/>
      <c r="C195" s="4"/>
      <c r="D195" s="4" t="s">
        <v>94</v>
      </c>
      <c r="E195" s="4">
        <v>3</v>
      </c>
      <c r="F195" s="4">
        <f>PodDop!J33</f>
        <v>194</v>
      </c>
      <c r="G195" s="4"/>
      <c r="H195" s="12">
        <f t="shared" si="16"/>
        <v>0</v>
      </c>
      <c r="I195" s="4">
        <f t="shared" si="17"/>
        <v>0</v>
      </c>
      <c r="J195" s="14">
        <f>PodDop!K33</f>
        <v>0</v>
      </c>
      <c r="K195" s="15">
        <f>PodDop!L33</f>
        <v>0</v>
      </c>
      <c r="L195" s="14"/>
      <c r="M195" s="13"/>
      <c r="N195" s="13"/>
      <c r="O195" s="13"/>
      <c r="P195" s="13"/>
      <c r="Q195" s="13"/>
      <c r="R195" s="13"/>
      <c r="S195" s="13"/>
      <c r="T195" s="13"/>
      <c r="U195" s="13"/>
      <c r="V195" s="13"/>
      <c r="W195" s="13"/>
      <c r="X195" s="15"/>
      <c r="Y195" s="4"/>
      <c r="Z195" s="4"/>
      <c r="AA195" s="4"/>
      <c r="AB195" s="4"/>
      <c r="AC195" s="16"/>
    </row>
    <row r="196" spans="1:29" ht="12.75">
      <c r="A196" s="10"/>
      <c r="B196" s="11"/>
      <c r="C196" s="4"/>
      <c r="D196" s="4" t="s">
        <v>94</v>
      </c>
      <c r="E196" s="4">
        <v>3</v>
      </c>
      <c r="F196" s="4">
        <f>PodDop!J34</f>
        <v>195</v>
      </c>
      <c r="G196" s="4"/>
      <c r="H196" s="12">
        <f t="shared" si="16"/>
        <v>0</v>
      </c>
      <c r="I196" s="4">
        <f t="shared" si="17"/>
        <v>0</v>
      </c>
      <c r="J196" s="14">
        <f>PodDop!K34</f>
        <v>0</v>
      </c>
      <c r="K196" s="15">
        <f>PodDop!L34</f>
        <v>0</v>
      </c>
      <c r="L196" s="14"/>
      <c r="M196" s="13"/>
      <c r="N196" s="13"/>
      <c r="O196" s="13"/>
      <c r="P196" s="13"/>
      <c r="Q196" s="13"/>
      <c r="R196" s="13"/>
      <c r="S196" s="13"/>
      <c r="T196" s="13"/>
      <c r="U196" s="13"/>
      <c r="V196" s="13"/>
      <c r="W196" s="13"/>
      <c r="X196" s="15"/>
      <c r="Y196" s="4"/>
      <c r="Z196" s="4"/>
      <c r="AA196" s="4"/>
      <c r="AB196" s="4"/>
      <c r="AC196" s="16"/>
    </row>
    <row r="197" spans="1:29" ht="12.75">
      <c r="A197" s="10"/>
      <c r="B197" s="11"/>
      <c r="C197" s="4"/>
      <c r="D197" s="4" t="s">
        <v>94</v>
      </c>
      <c r="E197" s="4">
        <v>3</v>
      </c>
      <c r="F197" s="4">
        <f>PodDop!J35</f>
        <v>196</v>
      </c>
      <c r="G197" s="4"/>
      <c r="H197" s="12">
        <f t="shared" si="16"/>
        <v>0</v>
      </c>
      <c r="I197" s="4">
        <f t="shared" si="17"/>
        <v>0</v>
      </c>
      <c r="J197" s="14">
        <f>PodDop!K35</f>
        <v>0</v>
      </c>
      <c r="K197" s="15">
        <f>PodDop!L35</f>
        <v>0</v>
      </c>
      <c r="L197" s="14"/>
      <c r="M197" s="13"/>
      <c r="N197" s="13"/>
      <c r="O197" s="13"/>
      <c r="P197" s="13"/>
      <c r="Q197" s="13"/>
      <c r="R197" s="13"/>
      <c r="S197" s="13"/>
      <c r="T197" s="13"/>
      <c r="U197" s="13"/>
      <c r="V197" s="13"/>
      <c r="W197" s="13"/>
      <c r="X197" s="15"/>
      <c r="Y197" s="4"/>
      <c r="Z197" s="4"/>
      <c r="AA197" s="4"/>
      <c r="AB197" s="4"/>
      <c r="AC197" s="16"/>
    </row>
    <row r="198" spans="1:29" ht="12.75">
      <c r="A198" s="10"/>
      <c r="B198" s="11"/>
      <c r="C198" s="4"/>
      <c r="D198" s="4" t="s">
        <v>94</v>
      </c>
      <c r="E198" s="4">
        <v>3</v>
      </c>
      <c r="F198" s="4">
        <f>PodDop!J36</f>
        <v>197</v>
      </c>
      <c r="G198" s="4"/>
      <c r="H198" s="12">
        <f t="shared" si="16"/>
        <v>0</v>
      </c>
      <c r="I198" s="4">
        <f t="shared" si="17"/>
        <v>0</v>
      </c>
      <c r="J198" s="14">
        <f>PodDop!K36</f>
        <v>0</v>
      </c>
      <c r="K198" s="15">
        <f>PodDop!L36</f>
        <v>0</v>
      </c>
      <c r="L198" s="14"/>
      <c r="M198" s="13"/>
      <c r="N198" s="13"/>
      <c r="O198" s="13"/>
      <c r="P198" s="13"/>
      <c r="Q198" s="13"/>
      <c r="R198" s="13"/>
      <c r="S198" s="13"/>
      <c r="T198" s="13"/>
      <c r="U198" s="13"/>
      <c r="V198" s="13"/>
      <c r="W198" s="13"/>
      <c r="X198" s="15"/>
      <c r="Y198" s="4"/>
      <c r="Z198" s="4"/>
      <c r="AA198" s="4"/>
      <c r="AB198" s="4"/>
      <c r="AC198" s="16"/>
    </row>
    <row r="199" spans="1:29" ht="12.75">
      <c r="A199" s="10"/>
      <c r="B199" s="11"/>
      <c r="C199" s="4"/>
      <c r="D199" s="4" t="s">
        <v>94</v>
      </c>
      <c r="E199" s="4">
        <v>3</v>
      </c>
      <c r="F199" s="4">
        <f>PodDop!J37</f>
        <v>198</v>
      </c>
      <c r="G199" s="4"/>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Y199" s="4"/>
      <c r="Z199" s="4"/>
      <c r="AA199" s="4"/>
      <c r="AB199" s="4"/>
      <c r="AC199" s="16"/>
    </row>
    <row r="200" spans="1:29" ht="12.75">
      <c r="A200" s="10"/>
      <c r="B200" s="11"/>
      <c r="C200" s="4"/>
      <c r="D200" s="4" t="s">
        <v>94</v>
      </c>
      <c r="E200" s="4">
        <v>3</v>
      </c>
      <c r="F200" s="4">
        <f>PodDop!J38</f>
        <v>199</v>
      </c>
      <c r="G200" s="4"/>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Y200" s="4"/>
      <c r="Z200" s="4"/>
      <c r="AA200" s="4"/>
      <c r="AB200" s="4"/>
      <c r="AC200" s="16"/>
    </row>
    <row r="201" spans="1:29" ht="12.75">
      <c r="A201" s="10"/>
      <c r="B201" s="11"/>
      <c r="C201" s="4"/>
      <c r="D201" s="4" t="s">
        <v>94</v>
      </c>
      <c r="E201" s="4">
        <v>3</v>
      </c>
      <c r="F201" s="4">
        <f>PodDop!J39</f>
        <v>200</v>
      </c>
      <c r="G201" s="4"/>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Y201" s="4"/>
      <c r="Z201" s="4"/>
      <c r="AA201" s="4"/>
      <c r="AB201" s="4"/>
      <c r="AC201" s="16"/>
    </row>
    <row r="202" spans="1:29" ht="12.75">
      <c r="A202" s="10"/>
      <c r="B202" s="11"/>
      <c r="C202" s="4"/>
      <c r="D202" s="4" t="s">
        <v>94</v>
      </c>
      <c r="E202" s="4">
        <v>3</v>
      </c>
      <c r="F202" s="4">
        <f>PodDop!J40</f>
        <v>201</v>
      </c>
      <c r="G202" s="4"/>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Y202" s="4"/>
      <c r="Z202" s="4"/>
      <c r="AA202" s="4"/>
      <c r="AB202" s="4"/>
      <c r="AC202" s="16"/>
    </row>
    <row r="203" spans="1:29" ht="12.75">
      <c r="A203" s="10"/>
      <c r="B203" s="11"/>
      <c r="C203" s="4"/>
      <c r="D203" s="4" t="s">
        <v>94</v>
      </c>
      <c r="E203" s="4">
        <v>3</v>
      </c>
      <c r="F203" s="4">
        <f>PodDop!J41</f>
        <v>202</v>
      </c>
      <c r="G203" s="4"/>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Y203" s="4"/>
      <c r="Z203" s="4"/>
      <c r="AA203" s="4"/>
      <c r="AB203" s="4"/>
      <c r="AC203" s="16"/>
    </row>
    <row r="204" spans="1:29" ht="12.75">
      <c r="A204" s="10"/>
      <c r="B204" s="11"/>
      <c r="C204" s="4"/>
      <c r="D204" s="4" t="s">
        <v>94</v>
      </c>
      <c r="E204" s="4">
        <v>3</v>
      </c>
      <c r="F204" s="4">
        <f>PodDop!J42</f>
        <v>203</v>
      </c>
      <c r="G204" s="4"/>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Y204" s="4"/>
      <c r="Z204" s="4"/>
      <c r="AA204" s="4"/>
      <c r="AB204" s="4"/>
      <c r="AC204" s="16"/>
    </row>
    <row r="205" spans="1:29" ht="12.75">
      <c r="A205" s="10"/>
      <c r="B205" s="11"/>
      <c r="C205" s="4"/>
      <c r="D205" s="4" t="s">
        <v>94</v>
      </c>
      <c r="E205" s="4">
        <v>3</v>
      </c>
      <c r="F205" s="4">
        <f>PodDop!J43</f>
        <v>204</v>
      </c>
      <c r="G205" s="4"/>
      <c r="H205" s="12">
        <f t="shared" si="16"/>
        <v>0</v>
      </c>
      <c r="I205" s="4">
        <f t="shared" si="17"/>
        <v>0</v>
      </c>
      <c r="J205" s="14">
        <f>PodDop!K43</f>
        <v>0</v>
      </c>
      <c r="K205" s="15">
        <f>PodDop!L43</f>
        <v>0</v>
      </c>
      <c r="L205" s="14"/>
      <c r="M205" s="13"/>
      <c r="N205" s="13"/>
      <c r="O205" s="13"/>
      <c r="P205" s="13"/>
      <c r="Q205" s="13"/>
      <c r="R205" s="13"/>
      <c r="S205" s="13"/>
      <c r="T205" s="13"/>
      <c r="U205" s="13"/>
      <c r="V205" s="13"/>
      <c r="W205" s="13"/>
      <c r="X205" s="15"/>
      <c r="Y205" s="4"/>
      <c r="Z205" s="4"/>
      <c r="AA205" s="4"/>
      <c r="AB205" s="4"/>
      <c r="AC205" s="16"/>
    </row>
    <row r="206" spans="1:29" ht="12.75">
      <c r="A206" s="10"/>
      <c r="B206" s="11"/>
      <c r="C206" s="4"/>
      <c r="D206" s="4" t="s">
        <v>94</v>
      </c>
      <c r="E206" s="4">
        <v>3</v>
      </c>
      <c r="F206" s="4">
        <f>PodDop!J44</f>
        <v>205</v>
      </c>
      <c r="G206" s="4"/>
      <c r="H206" s="12">
        <f t="shared" si="16"/>
        <v>0</v>
      </c>
      <c r="I206" s="4">
        <f t="shared" si="17"/>
        <v>0</v>
      </c>
      <c r="J206" s="14">
        <f>PodDop!K44</f>
        <v>0</v>
      </c>
      <c r="K206" s="15">
        <f>PodDop!L44</f>
        <v>0</v>
      </c>
      <c r="L206" s="14"/>
      <c r="M206" s="13"/>
      <c r="N206" s="13"/>
      <c r="O206" s="13"/>
      <c r="P206" s="13"/>
      <c r="Q206" s="13"/>
      <c r="R206" s="13"/>
      <c r="S206" s="13"/>
      <c r="T206" s="13"/>
      <c r="U206" s="13"/>
      <c r="V206" s="13"/>
      <c r="W206" s="13"/>
      <c r="X206" s="15"/>
      <c r="Y206" s="4"/>
      <c r="Z206" s="4"/>
      <c r="AA206" s="4"/>
      <c r="AB206" s="4"/>
      <c r="AC206" s="16"/>
    </row>
    <row r="207" spans="1:29" ht="12.75">
      <c r="A207" s="10"/>
      <c r="B207" s="11"/>
      <c r="C207" s="4"/>
      <c r="D207" s="4" t="s">
        <v>94</v>
      </c>
      <c r="E207" s="4">
        <v>3</v>
      </c>
      <c r="F207" s="4">
        <f>PodDop!J45</f>
        <v>206</v>
      </c>
      <c r="G207" s="4"/>
      <c r="H207" s="12">
        <f t="shared" si="16"/>
        <v>0</v>
      </c>
      <c r="I207" s="4">
        <f t="shared" si="17"/>
        <v>0</v>
      </c>
      <c r="J207" s="14">
        <f>PodDop!K45</f>
        <v>0</v>
      </c>
      <c r="K207" s="15">
        <f>PodDop!L45</f>
        <v>0</v>
      </c>
      <c r="L207" s="14"/>
      <c r="M207" s="13"/>
      <c r="N207" s="13"/>
      <c r="O207" s="13"/>
      <c r="P207" s="13"/>
      <c r="Q207" s="13"/>
      <c r="R207" s="13"/>
      <c r="S207" s="13"/>
      <c r="T207" s="13"/>
      <c r="U207" s="13"/>
      <c r="V207" s="13"/>
      <c r="W207" s="13"/>
      <c r="X207" s="15"/>
      <c r="Y207" s="4"/>
      <c r="Z207" s="4"/>
      <c r="AA207" s="4"/>
      <c r="AB207" s="4"/>
      <c r="AC207" s="16"/>
    </row>
    <row r="208" spans="1:29" ht="12.75">
      <c r="A208" s="10"/>
      <c r="B208" s="11"/>
      <c r="C208" s="4"/>
      <c r="D208" s="4" t="s">
        <v>94</v>
      </c>
      <c r="E208" s="4">
        <v>3</v>
      </c>
      <c r="F208" s="4">
        <f>PodDop!J46</f>
        <v>207</v>
      </c>
      <c r="G208" s="4"/>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Y208" s="4"/>
      <c r="Z208" s="4"/>
      <c r="AA208" s="4"/>
      <c r="AB208" s="4"/>
      <c r="AC208" s="16"/>
    </row>
    <row r="209" spans="1:29" ht="12.75">
      <c r="A209" s="10"/>
      <c r="B209" s="11"/>
      <c r="C209" s="4"/>
      <c r="D209" s="4" t="s">
        <v>94</v>
      </c>
      <c r="E209" s="4">
        <v>3</v>
      </c>
      <c r="F209" s="4">
        <f>PodDop!J47</f>
        <v>208</v>
      </c>
      <c r="G209" s="4"/>
      <c r="H209" s="12">
        <f t="shared" si="16"/>
        <v>0</v>
      </c>
      <c r="I209" s="4">
        <f t="shared" si="17"/>
        <v>0</v>
      </c>
      <c r="J209" s="14">
        <f>PodDop!K47</f>
        <v>0</v>
      </c>
      <c r="K209" s="15">
        <f>PodDop!L47</f>
        <v>0</v>
      </c>
      <c r="L209" s="14"/>
      <c r="M209" s="13"/>
      <c r="N209" s="13"/>
      <c r="O209" s="13"/>
      <c r="P209" s="13"/>
      <c r="Q209" s="13"/>
      <c r="R209" s="13"/>
      <c r="S209" s="13"/>
      <c r="T209" s="13"/>
      <c r="U209" s="13"/>
      <c r="V209" s="13"/>
      <c r="W209" s="13"/>
      <c r="X209" s="15"/>
      <c r="Y209" s="4"/>
      <c r="Z209" s="4"/>
      <c r="AA209" s="4"/>
      <c r="AB209" s="4"/>
      <c r="AC209" s="16"/>
    </row>
    <row r="210" spans="1:29" ht="12.75">
      <c r="A210" s="10"/>
      <c r="B210" s="11"/>
      <c r="C210" s="4"/>
      <c r="D210" s="4" t="s">
        <v>94</v>
      </c>
      <c r="E210" s="4">
        <v>3</v>
      </c>
      <c r="F210" s="4">
        <f>PodDop!J48</f>
        <v>209</v>
      </c>
      <c r="G210" s="4"/>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Y210" s="4"/>
      <c r="Z210" s="4"/>
      <c r="AA210" s="4"/>
      <c r="AB210" s="4"/>
      <c r="AC210" s="16"/>
    </row>
    <row r="211" spans="1:29" ht="12.75">
      <c r="A211" s="10"/>
      <c r="B211" s="11"/>
      <c r="C211" s="4"/>
      <c r="D211" s="4" t="s">
        <v>94</v>
      </c>
      <c r="E211" s="4">
        <v>3</v>
      </c>
      <c r="F211" s="4">
        <f>PodDop!J49</f>
        <v>210</v>
      </c>
      <c r="G211" s="4"/>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Y211" s="4"/>
      <c r="Z211" s="4"/>
      <c r="AA211" s="4"/>
      <c r="AB211" s="4"/>
      <c r="AC211" s="16"/>
    </row>
    <row r="212" spans="1:29" ht="12.75">
      <c r="A212" s="10"/>
      <c r="B212" s="11"/>
      <c r="C212" s="4"/>
      <c r="D212" s="4" t="s">
        <v>94</v>
      </c>
      <c r="E212" s="4">
        <v>3</v>
      </c>
      <c r="F212" s="4">
        <f>PodDop!J50</f>
        <v>211</v>
      </c>
      <c r="G212" s="4"/>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Y212" s="4"/>
      <c r="Z212" s="4"/>
      <c r="AA212" s="4"/>
      <c r="AB212" s="4"/>
      <c r="AC212" s="16"/>
    </row>
    <row r="213" spans="1:29" ht="12.75">
      <c r="A213" s="10"/>
      <c r="B213" s="11"/>
      <c r="C213" s="4"/>
      <c r="D213" s="4" t="s">
        <v>94</v>
      </c>
      <c r="E213" s="4">
        <v>3</v>
      </c>
      <c r="F213" s="4">
        <f>PodDop!J51</f>
        <v>212</v>
      </c>
      <c r="G213" s="4"/>
      <c r="H213" s="12">
        <f t="shared" si="16"/>
        <v>0</v>
      </c>
      <c r="I213" s="4">
        <f t="shared" si="17"/>
        <v>0</v>
      </c>
      <c r="J213" s="14">
        <f>PodDop!K51</f>
        <v>0</v>
      </c>
      <c r="K213" s="15">
        <f>PodDop!L51</f>
        <v>0</v>
      </c>
      <c r="L213" s="14"/>
      <c r="M213" s="13"/>
      <c r="N213" s="13"/>
      <c r="O213" s="13"/>
      <c r="P213" s="13"/>
      <c r="Q213" s="13"/>
      <c r="R213" s="13"/>
      <c r="S213" s="13"/>
      <c r="T213" s="13"/>
      <c r="U213" s="13"/>
      <c r="V213" s="13"/>
      <c r="W213" s="13"/>
      <c r="X213" s="15"/>
      <c r="Y213" s="4"/>
      <c r="Z213" s="4"/>
      <c r="AA213" s="4"/>
      <c r="AB213" s="4"/>
      <c r="AC213" s="16"/>
    </row>
    <row r="214" spans="1:29" ht="12.75">
      <c r="A214" s="10"/>
      <c r="B214" s="11"/>
      <c r="C214" s="4"/>
      <c r="D214" s="4" t="s">
        <v>94</v>
      </c>
      <c r="E214" s="4">
        <v>3</v>
      </c>
      <c r="F214" s="4">
        <f>PodDop!J52</f>
        <v>213</v>
      </c>
      <c r="G214" s="4"/>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Y214" s="4"/>
      <c r="Z214" s="4"/>
      <c r="AA214" s="4"/>
      <c r="AB214" s="4"/>
      <c r="AC214" s="16"/>
    </row>
    <row r="215" spans="1:29" ht="12.75">
      <c r="A215" s="10"/>
      <c r="B215" s="11"/>
      <c r="C215" s="4"/>
      <c r="D215" s="4" t="s">
        <v>94</v>
      </c>
      <c r="E215" s="4">
        <v>3</v>
      </c>
      <c r="F215" s="4">
        <f>PodDop!J53</f>
        <v>214</v>
      </c>
      <c r="G215" s="4"/>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Y215" s="4"/>
      <c r="Z215" s="4"/>
      <c r="AA215" s="4"/>
      <c r="AB215" s="4"/>
      <c r="AC215" s="16"/>
    </row>
    <row r="216" spans="1:29" ht="12.75">
      <c r="A216" s="10"/>
      <c r="B216" s="11"/>
      <c r="C216" s="4"/>
      <c r="D216" s="4" t="s">
        <v>94</v>
      </c>
      <c r="E216" s="4">
        <v>3</v>
      </c>
      <c r="F216" s="4">
        <f>PodDop!J54</f>
        <v>215</v>
      </c>
      <c r="G216" s="4"/>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Y216" s="4"/>
      <c r="Z216" s="4"/>
      <c r="AA216" s="4"/>
      <c r="AB216" s="4"/>
      <c r="AC216" s="16"/>
    </row>
    <row r="217" spans="1:29" ht="12.75">
      <c r="A217" s="10"/>
      <c r="B217" s="11"/>
      <c r="C217" s="4"/>
      <c r="D217" s="4" t="s">
        <v>94</v>
      </c>
      <c r="E217" s="4">
        <v>3</v>
      </c>
      <c r="F217" s="4">
        <f>PodDop!J55</f>
        <v>216</v>
      </c>
      <c r="G217" s="4"/>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Y217" s="4"/>
      <c r="Z217" s="4"/>
      <c r="AA217" s="4"/>
      <c r="AB217" s="4"/>
      <c r="AC217" s="16"/>
    </row>
    <row r="218" spans="1:29" ht="12.75">
      <c r="A218" s="10"/>
      <c r="B218" s="11"/>
      <c r="C218" s="4"/>
      <c r="D218" s="4" t="s">
        <v>94</v>
      </c>
      <c r="E218" s="4">
        <v>3</v>
      </c>
      <c r="F218" s="4">
        <f>PodDop!J56</f>
        <v>217</v>
      </c>
      <c r="G218" s="4"/>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Y218" s="4"/>
      <c r="Z218" s="4"/>
      <c r="AA218" s="4"/>
      <c r="AB218" s="4"/>
      <c r="AC218" s="16"/>
    </row>
    <row r="219" spans="1:29" ht="12.75">
      <c r="A219" s="10"/>
      <c r="B219" s="11"/>
      <c r="C219" s="4"/>
      <c r="D219" s="4" t="s">
        <v>94</v>
      </c>
      <c r="E219" s="4">
        <v>3</v>
      </c>
      <c r="F219" s="4">
        <f>PodDop!J57</f>
        <v>218</v>
      </c>
      <c r="G219" s="4"/>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Y219" s="4"/>
      <c r="Z219" s="4"/>
      <c r="AA219" s="4"/>
      <c r="AB219" s="4"/>
      <c r="AC219" s="16"/>
    </row>
    <row r="220" spans="1:29" ht="12.75">
      <c r="A220" s="10"/>
      <c r="B220" s="11"/>
      <c r="C220" s="4"/>
      <c r="D220" s="4" t="s">
        <v>94</v>
      </c>
      <c r="E220" s="4">
        <v>3</v>
      </c>
      <c r="F220" s="4">
        <f>PodDop!J58</f>
        <v>219</v>
      </c>
      <c r="G220" s="4"/>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Y220" s="4"/>
      <c r="Z220" s="4"/>
      <c r="AA220" s="4"/>
      <c r="AB220" s="4"/>
      <c r="AC220" s="16"/>
    </row>
    <row r="221" spans="1:29" ht="12.75">
      <c r="A221" s="10"/>
      <c r="B221" s="11"/>
      <c r="C221" s="4"/>
      <c r="D221" s="4" t="s">
        <v>94</v>
      </c>
      <c r="E221" s="4">
        <v>3</v>
      </c>
      <c r="F221" s="4">
        <f>PodDop!J59</f>
        <v>220</v>
      </c>
      <c r="G221" s="4"/>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Y221" s="4"/>
      <c r="Z221" s="4"/>
      <c r="AA221" s="4"/>
      <c r="AB221" s="4"/>
      <c r="AC221" s="16"/>
    </row>
    <row r="222" spans="1:29" ht="12.75">
      <c r="A222" s="10"/>
      <c r="B222" s="11"/>
      <c r="C222" s="4"/>
      <c r="D222" s="4" t="s">
        <v>94</v>
      </c>
      <c r="E222" s="4">
        <v>3</v>
      </c>
      <c r="F222" s="4">
        <f>PodDop!J60</f>
        <v>221</v>
      </c>
      <c r="G222" s="4"/>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Y222" s="4"/>
      <c r="Z222" s="4"/>
      <c r="AA222" s="4"/>
      <c r="AB222" s="4"/>
      <c r="AC222" s="16"/>
    </row>
    <row r="223" spans="1:29" ht="12.75">
      <c r="A223" s="10"/>
      <c r="B223" s="11"/>
      <c r="C223" s="4"/>
      <c r="D223" s="4" t="s">
        <v>94</v>
      </c>
      <c r="E223" s="4">
        <v>3</v>
      </c>
      <c r="F223" s="4">
        <f>PodDop!J61</f>
        <v>222</v>
      </c>
      <c r="G223" s="4"/>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Y223" s="4"/>
      <c r="Z223" s="4"/>
      <c r="AA223" s="4"/>
      <c r="AB223" s="4"/>
      <c r="AC223" s="16"/>
    </row>
    <row r="224" spans="1:29" ht="12.75">
      <c r="A224" s="10"/>
      <c r="B224" s="11"/>
      <c r="C224" s="4"/>
      <c r="D224" s="4" t="s">
        <v>94</v>
      </c>
      <c r="E224" s="4">
        <v>3</v>
      </c>
      <c r="F224" s="4">
        <f>PodDop!J62</f>
        <v>223</v>
      </c>
      <c r="G224" s="4"/>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Y224" s="4"/>
      <c r="Z224" s="4"/>
      <c r="AA224" s="4"/>
      <c r="AB224" s="4"/>
      <c r="AC224" s="16"/>
    </row>
    <row r="225" spans="1:29" ht="12.75">
      <c r="A225" s="10"/>
      <c r="B225" s="11"/>
      <c r="C225" s="4"/>
      <c r="D225" s="4" t="s">
        <v>94</v>
      </c>
      <c r="E225" s="4">
        <v>3</v>
      </c>
      <c r="F225" s="4">
        <f>PodDop!J63</f>
        <v>224</v>
      </c>
      <c r="G225" s="4"/>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Y225" s="4"/>
      <c r="Z225" s="4"/>
      <c r="AA225" s="4"/>
      <c r="AB225" s="4"/>
      <c r="AC225" s="16"/>
    </row>
    <row r="226" spans="1:29" ht="12.75">
      <c r="A226" s="10"/>
      <c r="B226" s="11"/>
      <c r="C226" s="4"/>
      <c r="D226" s="4" t="s">
        <v>94</v>
      </c>
      <c r="E226" s="4">
        <v>3</v>
      </c>
      <c r="F226" s="4">
        <f>PodDop!J64</f>
        <v>225</v>
      </c>
      <c r="G226" s="4"/>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Y226" s="4"/>
      <c r="Z226" s="4"/>
      <c r="AA226" s="4"/>
      <c r="AB226" s="4"/>
      <c r="AC226" s="16"/>
    </row>
    <row r="227" spans="1:29" ht="12.75">
      <c r="A227" s="10"/>
      <c r="B227" s="11"/>
      <c r="C227" s="4"/>
      <c r="D227" s="4" t="s">
        <v>94</v>
      </c>
      <c r="E227" s="4">
        <v>3</v>
      </c>
      <c r="F227" s="4">
        <f>PodDop!J65</f>
        <v>226</v>
      </c>
      <c r="G227" s="4"/>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Y227" s="4"/>
      <c r="Z227" s="4"/>
      <c r="AA227" s="4"/>
      <c r="AB227" s="4"/>
      <c r="AC227" s="16"/>
    </row>
    <row r="228" spans="1:29" ht="12.75">
      <c r="A228" s="10"/>
      <c r="B228" s="11"/>
      <c r="C228" s="4"/>
      <c r="D228" s="4" t="s">
        <v>94</v>
      </c>
      <c r="E228" s="4">
        <v>3</v>
      </c>
      <c r="F228" s="4">
        <f>PodDop!J67</f>
        <v>227</v>
      </c>
      <c r="G228" s="4"/>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Y228" s="4"/>
      <c r="Z228" s="4"/>
      <c r="AA228" s="4"/>
      <c r="AB228" s="4"/>
      <c r="AC228" s="16"/>
    </row>
    <row r="229" spans="1:29" ht="12.75">
      <c r="A229" s="10"/>
      <c r="B229" s="11"/>
      <c r="C229" s="4"/>
      <c r="D229" s="4" t="s">
        <v>94</v>
      </c>
      <c r="E229" s="4">
        <v>3</v>
      </c>
      <c r="F229" s="4">
        <f>PodDop!J68</f>
        <v>228</v>
      </c>
      <c r="G229" s="4"/>
      <c r="H229" s="12">
        <f t="shared" si="16"/>
        <v>0</v>
      </c>
      <c r="I229" s="4">
        <f t="shared" si="17"/>
        <v>0</v>
      </c>
      <c r="J229" s="14">
        <f>PodDop!K68</f>
        <v>0</v>
      </c>
      <c r="K229" s="15">
        <f>PodDop!L68</f>
        <v>0</v>
      </c>
      <c r="L229" s="14"/>
      <c r="M229" s="13"/>
      <c r="N229" s="13"/>
      <c r="O229" s="13"/>
      <c r="P229" s="13"/>
      <c r="Q229" s="13"/>
      <c r="R229" s="13"/>
      <c r="S229" s="13"/>
      <c r="T229" s="13"/>
      <c r="U229" s="13"/>
      <c r="V229" s="13"/>
      <c r="W229" s="13"/>
      <c r="X229" s="15"/>
      <c r="Y229" s="4"/>
      <c r="Z229" s="4"/>
      <c r="AA229" s="4"/>
      <c r="AB229" s="4"/>
      <c r="AC229" s="16"/>
    </row>
    <row r="230" spans="1:29" ht="12.75">
      <c r="A230" s="10"/>
      <c r="B230" s="11"/>
      <c r="C230" s="4"/>
      <c r="D230" s="4" t="s">
        <v>94</v>
      </c>
      <c r="E230" s="4">
        <v>3</v>
      </c>
      <c r="F230" s="4">
        <f>PodDop!J69</f>
        <v>229</v>
      </c>
      <c r="G230" s="4"/>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Y230" s="4"/>
      <c r="Z230" s="4"/>
      <c r="AA230" s="4"/>
      <c r="AB230" s="4"/>
      <c r="AC230" s="16"/>
    </row>
    <row r="231" spans="1:29" ht="12.75">
      <c r="A231" s="10"/>
      <c r="B231" s="11"/>
      <c r="C231" s="4"/>
      <c r="D231" s="4" t="s">
        <v>94</v>
      </c>
      <c r="E231" s="4">
        <v>3</v>
      </c>
      <c r="F231" s="4">
        <f>PodDop!J70</f>
        <v>230</v>
      </c>
      <c r="G231" s="4"/>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Y231" s="4"/>
      <c r="Z231" s="4"/>
      <c r="AA231" s="4"/>
      <c r="AB231" s="4"/>
      <c r="AC231" s="16"/>
    </row>
    <row r="232" spans="1:29" ht="12.75">
      <c r="A232" s="10"/>
      <c r="B232" s="11"/>
      <c r="C232" s="4"/>
      <c r="D232" s="4" t="s">
        <v>94</v>
      </c>
      <c r="E232" s="4">
        <v>3</v>
      </c>
      <c r="F232" s="4">
        <f>PodDop!J71</f>
        <v>231</v>
      </c>
      <c r="G232" s="4"/>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Y232" s="4"/>
      <c r="Z232" s="4"/>
      <c r="AA232" s="4"/>
      <c r="AB232" s="4"/>
      <c r="AC232" s="16"/>
    </row>
    <row r="233" spans="1:29" ht="12.75">
      <c r="A233" s="10"/>
      <c r="B233" s="11"/>
      <c r="C233" s="4"/>
      <c r="D233" s="4" t="s">
        <v>94</v>
      </c>
      <c r="E233" s="4">
        <v>3</v>
      </c>
      <c r="F233" s="4">
        <f>PodDop!J72</f>
        <v>232</v>
      </c>
      <c r="G233" s="4"/>
      <c r="H233" s="12">
        <f t="shared" si="16"/>
        <v>0</v>
      </c>
      <c r="I233" s="4">
        <f t="shared" si="17"/>
        <v>0</v>
      </c>
      <c r="J233" s="14">
        <f>PodDop!K72</f>
        <v>0</v>
      </c>
      <c r="K233" s="15">
        <f>PodDop!L72</f>
        <v>0</v>
      </c>
      <c r="L233" s="14"/>
      <c r="M233" s="13"/>
      <c r="N233" s="13"/>
      <c r="O233" s="13"/>
      <c r="P233" s="13"/>
      <c r="Q233" s="13"/>
      <c r="R233" s="13"/>
      <c r="S233" s="13"/>
      <c r="T233" s="13"/>
      <c r="U233" s="13"/>
      <c r="V233" s="13"/>
      <c r="W233" s="13"/>
      <c r="X233" s="15"/>
      <c r="Y233" s="4"/>
      <c r="Z233" s="4"/>
      <c r="AA233" s="4"/>
      <c r="AB233" s="4"/>
      <c r="AC233" s="16"/>
    </row>
    <row r="234" spans="1:29" ht="12.75">
      <c r="A234" s="10"/>
      <c r="B234" s="11"/>
      <c r="C234" s="4"/>
      <c r="D234" s="4" t="s">
        <v>94</v>
      </c>
      <c r="E234" s="4">
        <v>3</v>
      </c>
      <c r="F234" s="4">
        <f>PodDop!J73</f>
        <v>233</v>
      </c>
      <c r="G234" s="4"/>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Y234" s="4"/>
      <c r="Z234" s="4"/>
      <c r="AA234" s="4"/>
      <c r="AB234" s="4"/>
      <c r="AC234" s="16"/>
    </row>
    <row r="235" spans="1:29" ht="12.75">
      <c r="A235" s="10"/>
      <c r="B235" s="11"/>
      <c r="C235" s="4"/>
      <c r="D235" s="4" t="s">
        <v>94</v>
      </c>
      <c r="E235" s="4">
        <v>3</v>
      </c>
      <c r="F235" s="4">
        <f>PodDop!J74</f>
        <v>234</v>
      </c>
      <c r="G235" s="4"/>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Y235" s="4"/>
      <c r="Z235" s="4"/>
      <c r="AA235" s="4"/>
      <c r="AB235" s="4"/>
      <c r="AC235" s="16"/>
    </row>
    <row r="236" spans="1:29" ht="12.75">
      <c r="A236" s="10"/>
      <c r="B236" s="11"/>
      <c r="C236" s="4"/>
      <c r="D236" s="4" t="s">
        <v>94</v>
      </c>
      <c r="E236" s="4">
        <v>3</v>
      </c>
      <c r="F236" s="4">
        <f>PodDop!J75</f>
        <v>235</v>
      </c>
      <c r="G236" s="4"/>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Y236" s="4"/>
      <c r="Z236" s="4"/>
      <c r="AA236" s="4"/>
      <c r="AB236" s="4"/>
      <c r="AC236" s="16"/>
    </row>
    <row r="237" spans="1:29" ht="12.75">
      <c r="A237" s="10"/>
      <c r="B237" s="11"/>
      <c r="C237" s="4"/>
      <c r="D237" s="4" t="s">
        <v>94</v>
      </c>
      <c r="E237" s="4">
        <v>3</v>
      </c>
      <c r="F237" s="4">
        <f>PodDop!J76</f>
        <v>236</v>
      </c>
      <c r="G237" s="4"/>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Y237" s="4"/>
      <c r="Z237" s="4"/>
      <c r="AA237" s="4"/>
      <c r="AB237" s="4"/>
      <c r="AC237" s="16"/>
    </row>
    <row r="238" spans="1:29" ht="12.75">
      <c r="A238" s="10"/>
      <c r="B238" s="11"/>
      <c r="C238" s="4"/>
      <c r="D238" s="4" t="s">
        <v>94</v>
      </c>
      <c r="E238" s="4">
        <v>3</v>
      </c>
      <c r="F238" s="4">
        <f>PodDop!J77</f>
        <v>237</v>
      </c>
      <c r="G238" s="4"/>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Y238" s="4"/>
      <c r="Z238" s="4"/>
      <c r="AA238" s="4"/>
      <c r="AB238" s="4"/>
      <c r="AC238" s="16"/>
    </row>
    <row r="239" spans="1:29" ht="12.75">
      <c r="A239" s="10"/>
      <c r="B239" s="11"/>
      <c r="C239" s="4"/>
      <c r="D239" s="4" t="s">
        <v>94</v>
      </c>
      <c r="E239" s="4">
        <v>3</v>
      </c>
      <c r="F239" s="4">
        <f>PodDop!J78</f>
        <v>238</v>
      </c>
      <c r="G239" s="4"/>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Y239" s="4"/>
      <c r="Z239" s="4"/>
      <c r="AA239" s="4"/>
      <c r="AB239" s="4"/>
      <c r="AC239" s="16"/>
    </row>
    <row r="240" spans="1:29" ht="12.75">
      <c r="A240" s="10"/>
      <c r="B240" s="11"/>
      <c r="C240" s="4"/>
      <c r="D240" s="4" t="s">
        <v>94</v>
      </c>
      <c r="E240" s="4">
        <v>3</v>
      </c>
      <c r="F240" s="4">
        <f>PodDop!J79</f>
        <v>239</v>
      </c>
      <c r="G240" s="4"/>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Y240" s="4"/>
      <c r="Z240" s="4"/>
      <c r="AA240" s="4"/>
      <c r="AB240" s="4"/>
      <c r="AC240" s="16"/>
    </row>
    <row r="241" spans="1:29" ht="12.75">
      <c r="A241" s="10"/>
      <c r="B241" s="11"/>
      <c r="C241" s="4"/>
      <c r="D241" s="4" t="s">
        <v>94</v>
      </c>
      <c r="E241" s="4">
        <v>3</v>
      </c>
      <c r="F241" s="4">
        <f>PodDop!J81</f>
        <v>240</v>
      </c>
      <c r="G241" s="4"/>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Y241" s="4"/>
      <c r="Z241" s="4"/>
      <c r="AA241" s="4"/>
      <c r="AB241" s="4"/>
      <c r="AC241" s="16"/>
    </row>
    <row r="242" spans="1:29" ht="12.75">
      <c r="A242" s="10"/>
      <c r="B242" s="11"/>
      <c r="C242" s="4"/>
      <c r="D242" s="4" t="s">
        <v>94</v>
      </c>
      <c r="E242" s="4">
        <v>3</v>
      </c>
      <c r="F242" s="4">
        <f>PodDop!J82</f>
        <v>241</v>
      </c>
      <c r="G242" s="4"/>
      <c r="H242" s="12">
        <f t="shared" si="18"/>
        <v>0</v>
      </c>
      <c r="I242" s="4">
        <f t="shared" si="19"/>
        <v>0</v>
      </c>
      <c r="J242" s="14">
        <f>PodDop!K82</f>
        <v>0</v>
      </c>
      <c r="K242" s="15">
        <f>PodDop!L82</f>
        <v>0</v>
      </c>
      <c r="L242" s="14"/>
      <c r="M242" s="13"/>
      <c r="N242" s="13"/>
      <c r="O242" s="13"/>
      <c r="P242" s="13"/>
      <c r="Q242" s="13"/>
      <c r="R242" s="13"/>
      <c r="S242" s="13"/>
      <c r="T242" s="13"/>
      <c r="U242" s="13"/>
      <c r="V242" s="13"/>
      <c r="W242" s="13"/>
      <c r="X242" s="15"/>
      <c r="Y242" s="4"/>
      <c r="Z242" s="4"/>
      <c r="AA242" s="4"/>
      <c r="AB242" s="4"/>
      <c r="AC242" s="16"/>
    </row>
    <row r="243" spans="1:29" ht="12.75">
      <c r="A243" s="10"/>
      <c r="B243" s="11"/>
      <c r="C243" s="4"/>
      <c r="D243" s="4" t="s">
        <v>94</v>
      </c>
      <c r="E243" s="4">
        <v>3</v>
      </c>
      <c r="F243" s="4">
        <f>PodDop!J83</f>
        <v>242</v>
      </c>
      <c r="G243" s="4"/>
      <c r="H243" s="12">
        <f t="shared" si="18"/>
        <v>0</v>
      </c>
      <c r="I243" s="4">
        <f t="shared" si="19"/>
        <v>0</v>
      </c>
      <c r="J243" s="14">
        <f>PodDop!K83</f>
        <v>0</v>
      </c>
      <c r="K243" s="15">
        <f>PodDop!L83</f>
        <v>0</v>
      </c>
      <c r="L243" s="14"/>
      <c r="M243" s="13"/>
      <c r="N243" s="13"/>
      <c r="O243" s="13"/>
      <c r="P243" s="13"/>
      <c r="Q243" s="13"/>
      <c r="R243" s="13"/>
      <c r="S243" s="13"/>
      <c r="T243" s="13"/>
      <c r="U243" s="13"/>
      <c r="V243" s="13"/>
      <c r="W243" s="13"/>
      <c r="X243" s="15"/>
      <c r="Y243" s="4"/>
      <c r="Z243" s="4"/>
      <c r="AA243" s="4"/>
      <c r="AB243" s="4"/>
      <c r="AC243" s="16"/>
    </row>
    <row r="244" spans="1:29" ht="12.75">
      <c r="A244" s="10"/>
      <c r="B244" s="11"/>
      <c r="C244" s="4"/>
      <c r="D244" s="4" t="s">
        <v>94</v>
      </c>
      <c r="E244" s="4">
        <v>3</v>
      </c>
      <c r="F244" s="4">
        <f>PodDop!J84</f>
        <v>243</v>
      </c>
      <c r="G244" s="4"/>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Y244" s="4"/>
      <c r="Z244" s="4"/>
      <c r="AA244" s="4"/>
      <c r="AB244" s="4"/>
      <c r="AC244" s="16"/>
    </row>
    <row r="245" spans="1:29" ht="12.75">
      <c r="A245" s="10"/>
      <c r="B245" s="11"/>
      <c r="C245" s="4"/>
      <c r="D245" s="4" t="s">
        <v>94</v>
      </c>
      <c r="E245" s="4">
        <v>3</v>
      </c>
      <c r="F245" s="4">
        <f>PodDop!J85</f>
        <v>244</v>
      </c>
      <c r="G245" s="4"/>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Y245" s="4"/>
      <c r="Z245" s="4"/>
      <c r="AA245" s="4"/>
      <c r="AB245" s="4"/>
      <c r="AC245" s="16"/>
    </row>
    <row r="246" spans="1:29" ht="12.75">
      <c r="A246" s="10"/>
      <c r="B246" s="11"/>
      <c r="C246" s="4"/>
      <c r="D246" s="4" t="s">
        <v>94</v>
      </c>
      <c r="E246" s="4">
        <v>3</v>
      </c>
      <c r="F246" s="4">
        <f>PodDop!J86</f>
        <v>245</v>
      </c>
      <c r="G246" s="4"/>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Y246" s="4"/>
      <c r="Z246" s="4"/>
      <c r="AA246" s="4"/>
      <c r="AB246" s="4"/>
      <c r="AC246" s="16"/>
    </row>
    <row r="247" spans="1:29" ht="12.75">
      <c r="A247" s="10"/>
      <c r="B247" s="11"/>
      <c r="C247" s="4"/>
      <c r="D247" s="4" t="s">
        <v>94</v>
      </c>
      <c r="E247" s="4">
        <v>3</v>
      </c>
      <c r="F247" s="4">
        <f>PodDop!J87</f>
        <v>246</v>
      </c>
      <c r="G247" s="4"/>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Y247" s="4"/>
      <c r="Z247" s="4"/>
      <c r="AA247" s="4"/>
      <c r="AB247" s="4"/>
      <c r="AC247" s="16"/>
    </row>
    <row r="248" spans="1:29" ht="12.75">
      <c r="A248" s="10"/>
      <c r="B248" s="11"/>
      <c r="C248" s="4"/>
      <c r="D248" s="4" t="s">
        <v>94</v>
      </c>
      <c r="E248" s="4">
        <v>3</v>
      </c>
      <c r="F248" s="4">
        <f>PodDop!J88</f>
        <v>247</v>
      </c>
      <c r="G248" s="4"/>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Y248" s="4"/>
      <c r="Z248" s="4"/>
      <c r="AA248" s="4"/>
      <c r="AB248" s="4"/>
      <c r="AC248" s="16"/>
    </row>
    <row r="249" spans="1:29" ht="12.75">
      <c r="A249" s="10"/>
      <c r="B249" s="11"/>
      <c r="C249" s="4"/>
      <c r="D249" s="4" t="s">
        <v>94</v>
      </c>
      <c r="E249" s="4">
        <v>3</v>
      </c>
      <c r="F249" s="4">
        <f>PodDop!J89</f>
        <v>248</v>
      </c>
      <c r="G249" s="4"/>
      <c r="H249" s="12">
        <f t="shared" si="18"/>
        <v>0</v>
      </c>
      <c r="I249" s="4">
        <f t="shared" si="19"/>
        <v>0</v>
      </c>
      <c r="J249" s="14">
        <f>PodDop!K89</f>
        <v>0</v>
      </c>
      <c r="K249" s="15">
        <f>PodDop!L89</f>
        <v>0</v>
      </c>
      <c r="L249" s="14"/>
      <c r="M249" s="13"/>
      <c r="N249" s="13"/>
      <c r="O249" s="13"/>
      <c r="P249" s="13"/>
      <c r="Q249" s="13"/>
      <c r="R249" s="13"/>
      <c r="S249" s="13"/>
      <c r="T249" s="13"/>
      <c r="U249" s="13"/>
      <c r="V249" s="13"/>
      <c r="W249" s="13"/>
      <c r="X249" s="15"/>
      <c r="Y249" s="4"/>
      <c r="Z249" s="4"/>
      <c r="AA249" s="4"/>
      <c r="AB249" s="4"/>
      <c r="AC249" s="16"/>
    </row>
    <row r="250" spans="1:29" ht="12.75">
      <c r="A250" s="10"/>
      <c r="B250" s="11"/>
      <c r="C250" s="4"/>
      <c r="D250" s="4" t="s">
        <v>94</v>
      </c>
      <c r="E250" s="4">
        <v>3</v>
      </c>
      <c r="F250" s="4">
        <f>PodDop!J90</f>
        <v>249</v>
      </c>
      <c r="G250" s="4"/>
      <c r="H250" s="12">
        <f t="shared" si="18"/>
        <v>0</v>
      </c>
      <c r="I250" s="4">
        <f t="shared" si="19"/>
        <v>0</v>
      </c>
      <c r="J250" s="14">
        <f>PodDop!K90</f>
        <v>0</v>
      </c>
      <c r="K250" s="15">
        <f>PodDop!L90</f>
        <v>0</v>
      </c>
      <c r="L250" s="14"/>
      <c r="M250" s="13"/>
      <c r="N250" s="13"/>
      <c r="O250" s="13"/>
      <c r="P250" s="13"/>
      <c r="Q250" s="13"/>
      <c r="R250" s="13"/>
      <c r="S250" s="13"/>
      <c r="T250" s="13"/>
      <c r="U250" s="13"/>
      <c r="V250" s="13"/>
      <c r="W250" s="13"/>
      <c r="X250" s="15"/>
      <c r="Y250" s="4"/>
      <c r="Z250" s="4"/>
      <c r="AA250" s="4"/>
      <c r="AB250" s="4"/>
      <c r="AC250" s="16"/>
    </row>
    <row r="251" spans="1:29" ht="12.75">
      <c r="A251" s="10"/>
      <c r="B251" s="11"/>
      <c r="C251" s="4"/>
      <c r="D251" s="4" t="s">
        <v>94</v>
      </c>
      <c r="E251" s="4">
        <v>3</v>
      </c>
      <c r="F251" s="4">
        <f>PodDop!J91</f>
        <v>250</v>
      </c>
      <c r="G251" s="4"/>
      <c r="H251" s="12">
        <f t="shared" si="18"/>
        <v>0</v>
      </c>
      <c r="I251" s="4">
        <f t="shared" si="19"/>
        <v>0</v>
      </c>
      <c r="J251" s="14">
        <f>PodDop!K91</f>
        <v>0</v>
      </c>
      <c r="K251" s="15">
        <f>PodDop!L91</f>
        <v>0</v>
      </c>
      <c r="L251" s="14"/>
      <c r="M251" s="13"/>
      <c r="N251" s="13"/>
      <c r="O251" s="13"/>
      <c r="P251" s="13"/>
      <c r="Q251" s="13"/>
      <c r="R251" s="13"/>
      <c r="S251" s="13"/>
      <c r="T251" s="13"/>
      <c r="U251" s="13"/>
      <c r="V251" s="13"/>
      <c r="W251" s="13"/>
      <c r="X251" s="15"/>
      <c r="Y251" s="4"/>
      <c r="Z251" s="4"/>
      <c r="AA251" s="4"/>
      <c r="AB251" s="4"/>
      <c r="AC251" s="16"/>
    </row>
    <row r="252" spans="1:29" ht="12.75">
      <c r="A252" s="10"/>
      <c r="B252" s="11"/>
      <c r="C252" s="4"/>
      <c r="D252" s="4" t="s">
        <v>94</v>
      </c>
      <c r="E252" s="4">
        <v>3</v>
      </c>
      <c r="F252" s="4">
        <f>PodDop!J92</f>
        <v>251</v>
      </c>
      <c r="G252" s="4"/>
      <c r="H252" s="12">
        <f t="shared" si="18"/>
        <v>0</v>
      </c>
      <c r="I252" s="4">
        <f t="shared" si="19"/>
        <v>0</v>
      </c>
      <c r="J252" s="14">
        <f>PodDop!K92</f>
        <v>0</v>
      </c>
      <c r="K252" s="15">
        <f>PodDop!L92</f>
        <v>0</v>
      </c>
      <c r="L252" s="14"/>
      <c r="M252" s="13"/>
      <c r="N252" s="13"/>
      <c r="O252" s="13"/>
      <c r="P252" s="13"/>
      <c r="Q252" s="13"/>
      <c r="R252" s="13"/>
      <c r="S252" s="13"/>
      <c r="T252" s="13"/>
      <c r="U252" s="13"/>
      <c r="V252" s="13"/>
      <c r="W252" s="13"/>
      <c r="X252" s="15"/>
      <c r="Y252" s="4"/>
      <c r="Z252" s="4"/>
      <c r="AA252" s="4"/>
      <c r="AB252" s="4"/>
      <c r="AC252" s="16"/>
    </row>
    <row r="253" spans="1:29" ht="12.75">
      <c r="A253" s="10"/>
      <c r="B253" s="11"/>
      <c r="C253" s="4"/>
      <c r="D253" s="4" t="s">
        <v>94</v>
      </c>
      <c r="E253" s="4">
        <v>3</v>
      </c>
      <c r="F253" s="4">
        <f>PodDop!J93</f>
        <v>252</v>
      </c>
      <c r="G253" s="4"/>
      <c r="H253" s="12">
        <f t="shared" si="18"/>
        <v>0</v>
      </c>
      <c r="I253" s="4">
        <f t="shared" si="19"/>
        <v>0</v>
      </c>
      <c r="J253" s="14">
        <f>PodDop!K93</f>
        <v>0</v>
      </c>
      <c r="K253" s="15">
        <f>PodDop!L93</f>
        <v>0</v>
      </c>
      <c r="L253" s="14"/>
      <c r="M253" s="13"/>
      <c r="N253" s="13"/>
      <c r="O253" s="13"/>
      <c r="P253" s="13"/>
      <c r="Q253" s="13"/>
      <c r="R253" s="13"/>
      <c r="S253" s="13"/>
      <c r="T253" s="13"/>
      <c r="U253" s="13"/>
      <c r="V253" s="13"/>
      <c r="W253" s="13"/>
      <c r="X253" s="15"/>
      <c r="Y253" s="4"/>
      <c r="Z253" s="4"/>
      <c r="AA253" s="4"/>
      <c r="AB253" s="4"/>
      <c r="AC253" s="16"/>
    </row>
    <row r="254" spans="1:29" ht="12.75">
      <c r="A254" s="10"/>
      <c r="B254" s="11"/>
      <c r="C254" s="4"/>
      <c r="D254" s="4" t="s">
        <v>94</v>
      </c>
      <c r="E254" s="4">
        <v>3</v>
      </c>
      <c r="F254" s="4">
        <f>PodDop!J94</f>
        <v>253</v>
      </c>
      <c r="G254" s="4"/>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Y254" s="4"/>
      <c r="Z254" s="4"/>
      <c r="AA254" s="4"/>
      <c r="AB254" s="4"/>
      <c r="AC254" s="16"/>
    </row>
    <row r="255" spans="1:29" ht="12.75">
      <c r="A255" s="10"/>
      <c r="B255" s="11"/>
      <c r="C255" s="4"/>
      <c r="D255" s="4" t="s">
        <v>94</v>
      </c>
      <c r="E255" s="4">
        <v>3</v>
      </c>
      <c r="F255" s="4">
        <f>PodDop!J95</f>
        <v>254</v>
      </c>
      <c r="G255" s="4"/>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Y255" s="4"/>
      <c r="Z255" s="4"/>
      <c r="AA255" s="4"/>
      <c r="AB255" s="4"/>
      <c r="AC255" s="16"/>
    </row>
    <row r="256" spans="1:29" ht="12.75">
      <c r="A256" s="10"/>
      <c r="B256" s="11"/>
      <c r="C256" s="4"/>
      <c r="D256" s="4" t="s">
        <v>94</v>
      </c>
      <c r="E256" s="4">
        <v>3</v>
      </c>
      <c r="F256" s="4">
        <f>PodDop!J96</f>
        <v>255</v>
      </c>
      <c r="G256" s="4"/>
      <c r="H256" s="12">
        <f t="shared" si="18"/>
        <v>0</v>
      </c>
      <c r="I256" s="4">
        <f t="shared" si="19"/>
        <v>0</v>
      </c>
      <c r="J256" s="14">
        <f>PodDop!K96</f>
        <v>0</v>
      </c>
      <c r="K256" s="15">
        <f>PodDop!L96</f>
        <v>0</v>
      </c>
      <c r="L256" s="14"/>
      <c r="M256" s="13"/>
      <c r="N256" s="13"/>
      <c r="O256" s="13"/>
      <c r="P256" s="13"/>
      <c r="Q256" s="13"/>
      <c r="R256" s="13"/>
      <c r="S256" s="13"/>
      <c r="T256" s="13"/>
      <c r="U256" s="13"/>
      <c r="V256" s="13"/>
      <c r="W256" s="13"/>
      <c r="X256" s="15"/>
      <c r="Y256" s="4"/>
      <c r="Z256" s="4"/>
      <c r="AA256" s="4"/>
      <c r="AB256" s="4"/>
      <c r="AC256" s="16"/>
    </row>
    <row r="257" spans="1:29" ht="12.75">
      <c r="A257" s="10"/>
      <c r="B257" s="11"/>
      <c r="C257" s="4"/>
      <c r="D257" s="4" t="s">
        <v>94</v>
      </c>
      <c r="E257" s="4">
        <v>3</v>
      </c>
      <c r="F257" s="4">
        <f>PodDop!J97</f>
        <v>256</v>
      </c>
      <c r="G257" s="4"/>
      <c r="H257" s="12">
        <f t="shared" si="18"/>
        <v>0</v>
      </c>
      <c r="I257" s="4">
        <f t="shared" si="19"/>
        <v>0</v>
      </c>
      <c r="J257" s="14">
        <f>PodDop!K97</f>
        <v>0</v>
      </c>
      <c r="K257" s="15">
        <f>PodDop!L97</f>
        <v>0</v>
      </c>
      <c r="L257" s="14"/>
      <c r="M257" s="13"/>
      <c r="N257" s="13"/>
      <c r="O257" s="13"/>
      <c r="P257" s="13"/>
      <c r="Q257" s="13"/>
      <c r="R257" s="13"/>
      <c r="S257" s="13"/>
      <c r="T257" s="13"/>
      <c r="U257" s="13"/>
      <c r="V257" s="13"/>
      <c r="W257" s="13"/>
      <c r="X257" s="15"/>
      <c r="Y257" s="4"/>
      <c r="Z257" s="4"/>
      <c r="AA257" s="4"/>
      <c r="AB257" s="4"/>
      <c r="AC257" s="16"/>
    </row>
    <row r="258" spans="1:29" ht="12.75">
      <c r="A258" s="10"/>
      <c r="B258" s="11"/>
      <c r="C258" s="4"/>
      <c r="D258" s="4" t="s">
        <v>94</v>
      </c>
      <c r="E258" s="4">
        <v>3</v>
      </c>
      <c r="F258" s="4">
        <f>PodDop!J98</f>
        <v>257</v>
      </c>
      <c r="G258" s="4"/>
      <c r="H258" s="12">
        <f t="shared" si="18"/>
        <v>0</v>
      </c>
      <c r="I258" s="4">
        <f t="shared" si="19"/>
        <v>0</v>
      </c>
      <c r="J258" s="14">
        <f>PodDop!K98</f>
        <v>0</v>
      </c>
      <c r="K258" s="15">
        <f>PodDop!L98</f>
        <v>0</v>
      </c>
      <c r="L258" s="14"/>
      <c r="M258" s="13"/>
      <c r="N258" s="13"/>
      <c r="O258" s="13"/>
      <c r="P258" s="13"/>
      <c r="Q258" s="13"/>
      <c r="R258" s="13"/>
      <c r="S258" s="13"/>
      <c r="T258" s="13"/>
      <c r="U258" s="13"/>
      <c r="V258" s="13"/>
      <c r="W258" s="13"/>
      <c r="X258" s="15"/>
      <c r="Y258" s="4"/>
      <c r="Z258" s="4"/>
      <c r="AA258" s="4"/>
      <c r="AB258" s="4"/>
      <c r="AC258" s="16"/>
    </row>
    <row r="259" spans="1:29" ht="12.75">
      <c r="A259" s="10"/>
      <c r="B259" s="11"/>
      <c r="C259" s="4"/>
      <c r="D259" s="4" t="s">
        <v>94</v>
      </c>
      <c r="E259" s="4">
        <v>3</v>
      </c>
      <c r="F259" s="4">
        <f>PodDop!J99</f>
        <v>258</v>
      </c>
      <c r="G259" s="4"/>
      <c r="H259" s="12">
        <f t="shared" si="18"/>
        <v>0</v>
      </c>
      <c r="I259" s="4">
        <f t="shared" si="19"/>
        <v>0</v>
      </c>
      <c r="J259" s="14">
        <f>PodDop!K99</f>
        <v>0</v>
      </c>
      <c r="K259" s="15">
        <f>PodDop!L99</f>
        <v>0</v>
      </c>
      <c r="L259" s="14"/>
      <c r="M259" s="13"/>
      <c r="N259" s="13"/>
      <c r="O259" s="13"/>
      <c r="P259" s="13"/>
      <c r="Q259" s="13"/>
      <c r="R259" s="13"/>
      <c r="S259" s="13"/>
      <c r="T259" s="13"/>
      <c r="U259" s="13"/>
      <c r="V259" s="13"/>
      <c r="W259" s="13"/>
      <c r="X259" s="15"/>
      <c r="Y259" s="4"/>
      <c r="Z259" s="4"/>
      <c r="AA259" s="4"/>
      <c r="AB259" s="4"/>
      <c r="AC259" s="16"/>
    </row>
    <row r="260" spans="1:29" ht="12.75">
      <c r="A260" s="10"/>
      <c r="B260" s="11"/>
      <c r="C260" s="4"/>
      <c r="D260" s="4" t="s">
        <v>94</v>
      </c>
      <c r="E260" s="4">
        <v>3</v>
      </c>
      <c r="F260" s="4">
        <f>PodDop!J100</f>
        <v>259</v>
      </c>
      <c r="G260" s="4"/>
      <c r="H260" s="12">
        <f t="shared" si="18"/>
        <v>0</v>
      </c>
      <c r="I260" s="4">
        <f t="shared" si="19"/>
        <v>0</v>
      </c>
      <c r="J260" s="14">
        <f>PodDop!K100</f>
        <v>0</v>
      </c>
      <c r="K260" s="15">
        <f>PodDop!L100</f>
        <v>0</v>
      </c>
      <c r="L260" s="14"/>
      <c r="M260" s="13"/>
      <c r="N260" s="13"/>
      <c r="O260" s="13"/>
      <c r="P260" s="13"/>
      <c r="Q260" s="13"/>
      <c r="R260" s="13"/>
      <c r="S260" s="13"/>
      <c r="T260" s="13"/>
      <c r="U260" s="13"/>
      <c r="V260" s="13"/>
      <c r="W260" s="13"/>
      <c r="X260" s="15"/>
      <c r="Y260" s="4"/>
      <c r="Z260" s="4"/>
      <c r="AA260" s="4"/>
      <c r="AB260" s="4"/>
      <c r="AC260" s="16"/>
    </row>
    <row r="261" spans="1:29" ht="12.75">
      <c r="A261" s="10"/>
      <c r="B261" s="11"/>
      <c r="C261" s="4"/>
      <c r="D261" s="4" t="s">
        <v>94</v>
      </c>
      <c r="E261" s="4">
        <v>3</v>
      </c>
      <c r="F261" s="4">
        <f>PodDop!J101</f>
        <v>260</v>
      </c>
      <c r="G261" s="4"/>
      <c r="H261" s="12">
        <f t="shared" si="18"/>
        <v>0</v>
      </c>
      <c r="I261" s="4">
        <f t="shared" si="19"/>
        <v>0</v>
      </c>
      <c r="J261" s="14">
        <f>PodDop!K101</f>
        <v>0</v>
      </c>
      <c r="K261" s="15">
        <f>PodDop!L101</f>
        <v>0</v>
      </c>
      <c r="L261" s="14"/>
      <c r="M261" s="13"/>
      <c r="N261" s="13"/>
      <c r="O261" s="13"/>
      <c r="P261" s="13"/>
      <c r="Q261" s="13"/>
      <c r="R261" s="13"/>
      <c r="S261" s="13"/>
      <c r="T261" s="13"/>
      <c r="U261" s="13"/>
      <c r="V261" s="13"/>
      <c r="W261" s="13"/>
      <c r="X261" s="15"/>
      <c r="Y261" s="4"/>
      <c r="Z261" s="4"/>
      <c r="AA261" s="4"/>
      <c r="AB261" s="4"/>
      <c r="AC261" s="16"/>
    </row>
    <row r="262" spans="1:29" ht="12.75">
      <c r="A262" s="10"/>
      <c r="B262" s="11"/>
      <c r="C262" s="4"/>
      <c r="D262" s="4" t="s">
        <v>94</v>
      </c>
      <c r="E262" s="4">
        <v>3</v>
      </c>
      <c r="F262" s="4">
        <f>PodDop!J102</f>
        <v>261</v>
      </c>
      <c r="G262" s="4"/>
      <c r="H262" s="12">
        <f t="shared" si="18"/>
        <v>0</v>
      </c>
      <c r="I262" s="4">
        <f t="shared" si="19"/>
        <v>0</v>
      </c>
      <c r="J262" s="14">
        <f>PodDop!K102</f>
        <v>0</v>
      </c>
      <c r="K262" s="15">
        <f>PodDop!L102</f>
        <v>0</v>
      </c>
      <c r="L262" s="14"/>
      <c r="M262" s="13"/>
      <c r="N262" s="13"/>
      <c r="O262" s="13"/>
      <c r="P262" s="13"/>
      <c r="Q262" s="13"/>
      <c r="R262" s="13"/>
      <c r="S262" s="13"/>
      <c r="T262" s="13"/>
      <c r="U262" s="13"/>
      <c r="V262" s="13"/>
      <c r="W262" s="13"/>
      <c r="X262" s="15"/>
      <c r="Y262" s="4"/>
      <c r="Z262" s="4"/>
      <c r="AA262" s="4"/>
      <c r="AB262" s="4"/>
      <c r="AC262" s="16"/>
    </row>
    <row r="263" spans="1:29" ht="12.75">
      <c r="A263" s="10"/>
      <c r="B263" s="11"/>
      <c r="C263" s="4"/>
      <c r="D263" s="4" t="s">
        <v>94</v>
      </c>
      <c r="E263" s="4">
        <v>3</v>
      </c>
      <c r="F263" s="4">
        <f>PodDop!J103</f>
        <v>262</v>
      </c>
      <c r="G263" s="4"/>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Y263" s="4"/>
      <c r="Z263" s="4"/>
      <c r="AA263" s="4"/>
      <c r="AB263" s="4"/>
      <c r="AC263" s="16"/>
    </row>
    <row r="264" spans="1:29" ht="12.75">
      <c r="A264" s="10"/>
      <c r="B264" s="11"/>
      <c r="C264" s="4"/>
      <c r="D264" s="4" t="s">
        <v>94</v>
      </c>
      <c r="E264" s="4">
        <v>3</v>
      </c>
      <c r="F264" s="4">
        <f>PodDop!J104</f>
        <v>263</v>
      </c>
      <c r="G264" s="4"/>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Y264" s="4"/>
      <c r="Z264" s="4"/>
      <c r="AA264" s="4"/>
      <c r="AB264" s="4"/>
      <c r="AC264" s="16"/>
    </row>
    <row r="265" spans="1:29" ht="12.75">
      <c r="A265" s="10"/>
      <c r="B265" s="11"/>
      <c r="C265" s="4"/>
      <c r="D265" s="4" t="s">
        <v>94</v>
      </c>
      <c r="E265" s="4">
        <v>3</v>
      </c>
      <c r="F265" s="4">
        <f>PodDop!J105</f>
        <v>264</v>
      </c>
      <c r="G265" s="4"/>
      <c r="H265" s="12">
        <f t="shared" si="18"/>
        <v>0</v>
      </c>
      <c r="I265" s="4">
        <f t="shared" si="19"/>
        <v>0</v>
      </c>
      <c r="J265" s="14">
        <f>PodDop!K105</f>
        <v>0</v>
      </c>
      <c r="K265" s="15">
        <f>PodDop!L105</f>
        <v>0</v>
      </c>
      <c r="L265" s="14"/>
      <c r="M265" s="13"/>
      <c r="N265" s="13"/>
      <c r="O265" s="13"/>
      <c r="P265" s="13"/>
      <c r="Q265" s="13"/>
      <c r="R265" s="13"/>
      <c r="S265" s="13"/>
      <c r="T265" s="13"/>
      <c r="U265" s="13"/>
      <c r="V265" s="13"/>
      <c r="W265" s="13"/>
      <c r="X265" s="15"/>
      <c r="Y265" s="4"/>
      <c r="Z265" s="4"/>
      <c r="AA265" s="4"/>
      <c r="AB265" s="4"/>
      <c r="AC265" s="16"/>
    </row>
    <row r="266" spans="1:29" ht="12.75">
      <c r="A266" s="10"/>
      <c r="B266" s="11"/>
      <c r="C266" s="4"/>
      <c r="D266" s="4" t="s">
        <v>94</v>
      </c>
      <c r="E266" s="4">
        <v>3</v>
      </c>
      <c r="F266" s="4">
        <f>PodDop!J106</f>
        <v>265</v>
      </c>
      <c r="G266" s="4"/>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Y266" s="4"/>
      <c r="Z266" s="4"/>
      <c r="AA266" s="4"/>
      <c r="AB266" s="4"/>
      <c r="AC266" s="16"/>
    </row>
    <row r="267" spans="1:29" ht="12.75">
      <c r="A267" s="10"/>
      <c r="B267" s="11"/>
      <c r="C267" s="4"/>
      <c r="D267" s="4" t="s">
        <v>94</v>
      </c>
      <c r="E267" s="4">
        <v>3</v>
      </c>
      <c r="F267" s="4">
        <f>PodDop!J107</f>
        <v>266</v>
      </c>
      <c r="G267" s="4"/>
      <c r="H267" s="12">
        <f t="shared" si="18"/>
        <v>0</v>
      </c>
      <c r="I267" s="4">
        <f t="shared" si="19"/>
        <v>0</v>
      </c>
      <c r="J267" s="14">
        <f>PodDop!K107</f>
        <v>0</v>
      </c>
      <c r="K267" s="15">
        <f>PodDop!L107</f>
        <v>0</v>
      </c>
      <c r="L267" s="14"/>
      <c r="M267" s="13"/>
      <c r="N267" s="13"/>
      <c r="O267" s="13"/>
      <c r="P267" s="13"/>
      <c r="Q267" s="13"/>
      <c r="R267" s="13"/>
      <c r="S267" s="13"/>
      <c r="T267" s="13"/>
      <c r="U267" s="13"/>
      <c r="V267" s="13"/>
      <c r="W267" s="13"/>
      <c r="X267" s="15"/>
      <c r="Y267" s="4"/>
      <c r="Z267" s="4"/>
      <c r="AA267" s="4"/>
      <c r="AB267" s="4"/>
      <c r="AC267" s="16"/>
    </row>
    <row r="268" spans="1:29" ht="12.75">
      <c r="A268" s="10"/>
      <c r="B268" s="11"/>
      <c r="C268" s="4"/>
      <c r="D268" s="4" t="s">
        <v>94</v>
      </c>
      <c r="E268" s="4">
        <v>3</v>
      </c>
      <c r="F268" s="4">
        <f>PodDop!J108</f>
        <v>267</v>
      </c>
      <c r="G268" s="4"/>
      <c r="H268" s="12">
        <f t="shared" si="18"/>
        <v>0</v>
      </c>
      <c r="I268" s="4">
        <f t="shared" si="19"/>
        <v>0</v>
      </c>
      <c r="J268" s="14">
        <f>PodDop!K108</f>
        <v>0</v>
      </c>
      <c r="K268" s="15">
        <f>PodDop!L108</f>
        <v>0</v>
      </c>
      <c r="L268" s="14"/>
      <c r="M268" s="13"/>
      <c r="N268" s="13"/>
      <c r="O268" s="13"/>
      <c r="P268" s="13"/>
      <c r="Q268" s="13"/>
      <c r="R268" s="13"/>
      <c r="S268" s="13"/>
      <c r="T268" s="13"/>
      <c r="U268" s="13"/>
      <c r="V268" s="13"/>
      <c r="W268" s="13"/>
      <c r="X268" s="15"/>
      <c r="Y268" s="4"/>
      <c r="Z268" s="4"/>
      <c r="AA268" s="4"/>
      <c r="AB268" s="4"/>
      <c r="AC268" s="16"/>
    </row>
    <row r="269" spans="1:29" ht="12.75">
      <c r="A269" s="10"/>
      <c r="B269" s="11"/>
      <c r="C269" s="4"/>
      <c r="D269" s="4" t="s">
        <v>94</v>
      </c>
      <c r="E269" s="4">
        <v>3</v>
      </c>
      <c r="F269" s="4">
        <f>PodDop!J109</f>
        <v>268</v>
      </c>
      <c r="G269" s="4"/>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Y269" s="4"/>
      <c r="Z269" s="4"/>
      <c r="AA269" s="4"/>
      <c r="AB269" s="4"/>
      <c r="AC269" s="16"/>
    </row>
    <row r="270" spans="1:29" ht="12.75">
      <c r="A270" s="10"/>
      <c r="B270" s="11"/>
      <c r="C270" s="4"/>
      <c r="D270" s="4" t="s">
        <v>94</v>
      </c>
      <c r="E270" s="4">
        <v>3</v>
      </c>
      <c r="F270" s="4">
        <f>PodDop!J110</f>
        <v>269</v>
      </c>
      <c r="G270" s="4"/>
      <c r="H270" s="12">
        <f t="shared" si="18"/>
        <v>0</v>
      </c>
      <c r="I270" s="4">
        <f t="shared" si="19"/>
        <v>0</v>
      </c>
      <c r="J270" s="14">
        <f>PodDop!K110</f>
        <v>0</v>
      </c>
      <c r="K270" s="15">
        <f>PodDop!L110</f>
        <v>0</v>
      </c>
      <c r="L270" s="14"/>
      <c r="M270" s="13"/>
      <c r="N270" s="13"/>
      <c r="O270" s="13"/>
      <c r="P270" s="13"/>
      <c r="Q270" s="13"/>
      <c r="R270" s="13"/>
      <c r="S270" s="13"/>
      <c r="T270" s="13"/>
      <c r="U270" s="13"/>
      <c r="V270" s="13"/>
      <c r="W270" s="13"/>
      <c r="X270" s="15"/>
      <c r="Y270" s="4"/>
      <c r="Z270" s="4"/>
      <c r="AA270" s="4"/>
      <c r="AB270" s="4"/>
      <c r="AC270" s="16"/>
    </row>
    <row r="271" spans="1:29" ht="12.75">
      <c r="A271" s="10"/>
      <c r="B271" s="11"/>
      <c r="C271" s="4"/>
      <c r="D271" s="4" t="s">
        <v>94</v>
      </c>
      <c r="E271" s="4">
        <v>3</v>
      </c>
      <c r="F271" s="4">
        <f>PodDop!J111</f>
        <v>270</v>
      </c>
      <c r="G271" s="4"/>
      <c r="H271" s="12">
        <f t="shared" si="18"/>
        <v>0</v>
      </c>
      <c r="I271" s="4">
        <f t="shared" si="19"/>
        <v>0</v>
      </c>
      <c r="J271" s="14">
        <f>PodDop!K111</f>
        <v>0</v>
      </c>
      <c r="K271" s="15">
        <f>PodDop!L111</f>
        <v>0</v>
      </c>
      <c r="L271" s="14"/>
      <c r="M271" s="13"/>
      <c r="N271" s="13"/>
      <c r="O271" s="13"/>
      <c r="P271" s="13"/>
      <c r="Q271" s="13"/>
      <c r="R271" s="13"/>
      <c r="S271" s="13"/>
      <c r="T271" s="13"/>
      <c r="U271" s="13"/>
      <c r="V271" s="13"/>
      <c r="W271" s="13"/>
      <c r="X271" s="15"/>
      <c r="Y271" s="4"/>
      <c r="Z271" s="4"/>
      <c r="AA271" s="4"/>
      <c r="AB271" s="4"/>
      <c r="AC271" s="16"/>
    </row>
    <row r="272" spans="1:29" ht="12.75">
      <c r="A272" s="10"/>
      <c r="B272" s="11"/>
      <c r="C272" s="4"/>
      <c r="D272" s="4" t="s">
        <v>94</v>
      </c>
      <c r="E272" s="4">
        <v>3</v>
      </c>
      <c r="F272" s="4">
        <f>PodDop!J112</f>
        <v>271</v>
      </c>
      <c r="G272" s="4"/>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Y272" s="4"/>
      <c r="Z272" s="4"/>
      <c r="AA272" s="4"/>
      <c r="AB272" s="4"/>
      <c r="AC272" s="16"/>
    </row>
    <row r="273" spans="1:29" ht="12.75">
      <c r="A273" s="10"/>
      <c r="B273" s="11"/>
      <c r="C273" s="4"/>
      <c r="D273" s="4" t="s">
        <v>94</v>
      </c>
      <c r="E273" s="4">
        <v>3</v>
      </c>
      <c r="F273" s="4">
        <f>PodDop!J113</f>
        <v>272</v>
      </c>
      <c r="G273" s="4"/>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Y273" s="4"/>
      <c r="Z273" s="4"/>
      <c r="AA273" s="4"/>
      <c r="AB273" s="4"/>
      <c r="AC273" s="16"/>
    </row>
    <row r="274" spans="1:29" ht="12.75">
      <c r="A274" s="10"/>
      <c r="B274" s="11"/>
      <c r="C274" s="4"/>
      <c r="D274" s="4" t="s">
        <v>94</v>
      </c>
      <c r="E274" s="4">
        <v>3</v>
      </c>
      <c r="F274" s="4">
        <f>PodDop!J114</f>
        <v>273</v>
      </c>
      <c r="G274" s="4"/>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Y274" s="4"/>
      <c r="Z274" s="4"/>
      <c r="AA274" s="4"/>
      <c r="AB274" s="4"/>
      <c r="AC274" s="16"/>
    </row>
    <row r="275" spans="1:29" ht="12.75">
      <c r="A275" s="10"/>
      <c r="B275" s="11"/>
      <c r="C275" s="4"/>
      <c r="D275" s="4" t="s">
        <v>94</v>
      </c>
      <c r="E275" s="4">
        <v>3</v>
      </c>
      <c r="F275" s="4">
        <f>PodDop!J115</f>
        <v>274</v>
      </c>
      <c r="G275" s="4"/>
      <c r="H275" s="12">
        <f t="shared" si="18"/>
        <v>0</v>
      </c>
      <c r="I275" s="4">
        <f t="shared" si="19"/>
        <v>0</v>
      </c>
      <c r="J275" s="14">
        <f>PodDop!K115</f>
        <v>0</v>
      </c>
      <c r="K275" s="15">
        <f>PodDop!L115</f>
        <v>0</v>
      </c>
      <c r="L275" s="14"/>
      <c r="M275" s="13"/>
      <c r="N275" s="13"/>
      <c r="O275" s="13"/>
      <c r="P275" s="13"/>
      <c r="Q275" s="13"/>
      <c r="R275" s="13"/>
      <c r="S275" s="13"/>
      <c r="T275" s="13"/>
      <c r="U275" s="13"/>
      <c r="V275" s="13"/>
      <c r="W275" s="13"/>
      <c r="X275" s="15"/>
      <c r="Y275" s="4"/>
      <c r="Z275" s="4"/>
      <c r="AA275" s="4"/>
      <c r="AB275" s="4"/>
      <c r="AC275" s="16"/>
    </row>
    <row r="276" spans="1:29" ht="12.75">
      <c r="A276" s="10"/>
      <c r="B276" s="11"/>
      <c r="C276" s="4"/>
      <c r="D276" s="4" t="s">
        <v>94</v>
      </c>
      <c r="E276" s="4">
        <v>3</v>
      </c>
      <c r="F276" s="4">
        <f>PodDop!J116</f>
        <v>275</v>
      </c>
      <c r="G276" s="4"/>
      <c r="H276" s="12">
        <f t="shared" si="18"/>
        <v>0</v>
      </c>
      <c r="I276" s="4">
        <f t="shared" si="19"/>
        <v>0</v>
      </c>
      <c r="J276" s="14">
        <f>PodDop!K116</f>
        <v>0</v>
      </c>
      <c r="K276" s="15">
        <f>PodDop!L116</f>
        <v>0</v>
      </c>
      <c r="L276" s="14"/>
      <c r="M276" s="13"/>
      <c r="N276" s="13"/>
      <c r="O276" s="13"/>
      <c r="P276" s="13"/>
      <c r="Q276" s="13"/>
      <c r="R276" s="13"/>
      <c r="S276" s="13"/>
      <c r="T276" s="13"/>
      <c r="U276" s="13"/>
      <c r="V276" s="13"/>
      <c r="W276" s="13"/>
      <c r="X276" s="15"/>
      <c r="Y276" s="4"/>
      <c r="Z276" s="4"/>
      <c r="AA276" s="4"/>
      <c r="AB276" s="4"/>
      <c r="AC276" s="16"/>
    </row>
    <row r="277" spans="1:29" ht="12.75">
      <c r="A277" s="10"/>
      <c r="B277" s="11"/>
      <c r="C277" s="4"/>
      <c r="D277" s="4" t="s">
        <v>94</v>
      </c>
      <c r="E277" s="4">
        <v>3</v>
      </c>
      <c r="F277" s="4">
        <f>PodDop!J117</f>
        <v>276</v>
      </c>
      <c r="G277" s="4"/>
      <c r="H277" s="12">
        <f t="shared" si="18"/>
        <v>0</v>
      </c>
      <c r="I277" s="4">
        <f t="shared" si="19"/>
        <v>0</v>
      </c>
      <c r="J277" s="14">
        <f>PodDop!K117</f>
        <v>0</v>
      </c>
      <c r="K277" s="15">
        <f>PodDop!L117</f>
        <v>0</v>
      </c>
      <c r="L277" s="14"/>
      <c r="M277" s="13"/>
      <c r="N277" s="13"/>
      <c r="O277" s="13"/>
      <c r="P277" s="13"/>
      <c r="Q277" s="13"/>
      <c r="R277" s="13"/>
      <c r="S277" s="13"/>
      <c r="T277" s="13"/>
      <c r="U277" s="13"/>
      <c r="V277" s="13"/>
      <c r="W277" s="13"/>
      <c r="X277" s="15"/>
      <c r="Y277" s="4"/>
      <c r="Z277" s="4"/>
      <c r="AA277" s="4"/>
      <c r="AB277" s="4"/>
      <c r="AC277" s="16"/>
    </row>
    <row r="278" spans="1:29" ht="12.75">
      <c r="A278" s="10"/>
      <c r="B278" s="11"/>
      <c r="C278" s="4"/>
      <c r="D278" s="4" t="s">
        <v>94</v>
      </c>
      <c r="E278" s="4">
        <v>3</v>
      </c>
      <c r="F278" s="4">
        <f>PodDop!J118</f>
        <v>277</v>
      </c>
      <c r="G278" s="4"/>
      <c r="H278" s="12">
        <f t="shared" si="18"/>
        <v>0</v>
      </c>
      <c r="I278" s="4">
        <f t="shared" si="19"/>
        <v>0</v>
      </c>
      <c r="J278" s="14">
        <f>PodDop!K118</f>
        <v>0</v>
      </c>
      <c r="K278" s="15">
        <f>PodDop!L118</f>
        <v>0</v>
      </c>
      <c r="L278" s="14"/>
      <c r="M278" s="13"/>
      <c r="N278" s="13"/>
      <c r="O278" s="13"/>
      <c r="P278" s="13"/>
      <c r="Q278" s="13"/>
      <c r="R278" s="13"/>
      <c r="S278" s="13"/>
      <c r="T278" s="13"/>
      <c r="U278" s="13"/>
      <c r="V278" s="13"/>
      <c r="W278" s="13"/>
      <c r="X278" s="15"/>
      <c r="Y278" s="4"/>
      <c r="Z278" s="4"/>
      <c r="AA278" s="4"/>
      <c r="AB278" s="4"/>
      <c r="AC278" s="16"/>
    </row>
    <row r="279" spans="1:29" ht="12.75">
      <c r="A279" s="10"/>
      <c r="B279" s="11"/>
      <c r="C279" s="4"/>
      <c r="D279" s="4" t="s">
        <v>94</v>
      </c>
      <c r="E279" s="4">
        <v>3</v>
      </c>
      <c r="F279" s="4">
        <f>PodDop!J119</f>
        <v>278</v>
      </c>
      <c r="G279" s="4"/>
      <c r="H279" s="12">
        <f t="shared" si="18"/>
        <v>0</v>
      </c>
      <c r="I279" s="4">
        <f t="shared" si="19"/>
        <v>0</v>
      </c>
      <c r="J279" s="14">
        <f>PodDop!K119</f>
        <v>0</v>
      </c>
      <c r="K279" s="15">
        <f>PodDop!L119</f>
        <v>0</v>
      </c>
      <c r="L279" s="14"/>
      <c r="M279" s="13"/>
      <c r="N279" s="13"/>
      <c r="O279" s="13"/>
      <c r="P279" s="13"/>
      <c r="Q279" s="13"/>
      <c r="R279" s="13"/>
      <c r="S279" s="13"/>
      <c r="T279" s="13"/>
      <c r="U279" s="13"/>
      <c r="V279" s="13"/>
      <c r="W279" s="13"/>
      <c r="X279" s="15"/>
      <c r="Y279" s="4"/>
      <c r="Z279" s="4"/>
      <c r="AA279" s="4"/>
      <c r="AB279" s="4"/>
      <c r="AC279" s="16"/>
    </row>
    <row r="280" spans="1:29" ht="12.75">
      <c r="A280" s="10"/>
      <c r="B280" s="11"/>
      <c r="C280" s="4"/>
      <c r="D280" s="4" t="s">
        <v>94</v>
      </c>
      <c r="E280" s="4">
        <v>3</v>
      </c>
      <c r="F280" s="4">
        <f>PodDop!J120</f>
        <v>279</v>
      </c>
      <c r="G280" s="4"/>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Y280" s="4"/>
      <c r="Z280" s="4"/>
      <c r="AA280" s="4"/>
      <c r="AB280" s="4"/>
      <c r="AC280" s="16"/>
    </row>
    <row r="281" spans="1:29" ht="12.75">
      <c r="A281" s="10"/>
      <c r="B281" s="11"/>
      <c r="C281" s="4"/>
      <c r="D281" s="4" t="s">
        <v>94</v>
      </c>
      <c r="E281" s="4">
        <v>3</v>
      </c>
      <c r="F281" s="4">
        <f>PodDop!J121</f>
        <v>280</v>
      </c>
      <c r="G281" s="4"/>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Y281" s="4"/>
      <c r="Z281" s="4"/>
      <c r="AA281" s="4"/>
      <c r="AB281" s="4"/>
      <c r="AC281" s="16"/>
    </row>
    <row r="282" spans="1:29" ht="12.75">
      <c r="A282" s="10"/>
      <c r="B282" s="11"/>
      <c r="C282" s="4"/>
      <c r="D282" s="4" t="s">
        <v>94</v>
      </c>
      <c r="E282" s="4">
        <v>3</v>
      </c>
      <c r="F282" s="4">
        <f>PodDop!J122</f>
        <v>281</v>
      </c>
      <c r="G282" s="4"/>
      <c r="H282" s="12">
        <f t="shared" si="18"/>
        <v>0</v>
      </c>
      <c r="I282" s="4">
        <f t="shared" si="19"/>
        <v>0</v>
      </c>
      <c r="J282" s="14">
        <f>PodDop!K122</f>
        <v>0</v>
      </c>
      <c r="K282" s="15">
        <f>PodDop!L122</f>
        <v>0</v>
      </c>
      <c r="L282" s="14"/>
      <c r="M282" s="13"/>
      <c r="N282" s="13"/>
      <c r="O282" s="13"/>
      <c r="P282" s="13"/>
      <c r="Q282" s="13"/>
      <c r="R282" s="13"/>
      <c r="S282" s="13"/>
      <c r="T282" s="13"/>
      <c r="U282" s="13"/>
      <c r="V282" s="13"/>
      <c r="W282" s="13"/>
      <c r="X282" s="15"/>
      <c r="Y282" s="4"/>
      <c r="Z282" s="4"/>
      <c r="AA282" s="4"/>
      <c r="AB282" s="4"/>
      <c r="AC282" s="16"/>
    </row>
    <row r="283" spans="1:29" ht="12.75">
      <c r="A283" s="10"/>
      <c r="B283" s="11"/>
      <c r="C283" s="4"/>
      <c r="D283" s="4" t="s">
        <v>94</v>
      </c>
      <c r="E283" s="4">
        <v>3</v>
      </c>
      <c r="F283" s="4">
        <f>PodDop!J123</f>
        <v>282</v>
      </c>
      <c r="G283" s="4"/>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Y283" s="4"/>
      <c r="Z283" s="4"/>
      <c r="AA283" s="4"/>
      <c r="AB283" s="4"/>
      <c r="AC283" s="16"/>
    </row>
    <row r="284" spans="1:29" ht="12.75">
      <c r="A284" s="10"/>
      <c r="B284" s="11"/>
      <c r="C284" s="4"/>
      <c r="D284" s="4" t="s">
        <v>94</v>
      </c>
      <c r="E284" s="4">
        <v>3</v>
      </c>
      <c r="F284" s="4">
        <f>PodDop!J124</f>
        <v>283</v>
      </c>
      <c r="G284" s="4"/>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Y284" s="4"/>
      <c r="Z284" s="4"/>
      <c r="AA284" s="4"/>
      <c r="AB284" s="4"/>
      <c r="AC284" s="16"/>
    </row>
    <row r="285" spans="1:29" ht="12.75">
      <c r="A285" s="10"/>
      <c r="B285" s="11"/>
      <c r="C285" s="4"/>
      <c r="D285" s="4" t="s">
        <v>94</v>
      </c>
      <c r="E285" s="4">
        <v>3</v>
      </c>
      <c r="F285" s="4">
        <f>PodDop!J125</f>
        <v>284</v>
      </c>
      <c r="G285" s="4"/>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Y285" s="4"/>
      <c r="Z285" s="4"/>
      <c r="AA285" s="4"/>
      <c r="AB285" s="4"/>
      <c r="AC285" s="16"/>
    </row>
    <row r="286" spans="1:29" ht="12.75">
      <c r="A286" s="10"/>
      <c r="B286" s="11"/>
      <c r="C286" s="4"/>
      <c r="D286" s="4" t="s">
        <v>94</v>
      </c>
      <c r="E286" s="4">
        <v>3</v>
      </c>
      <c r="F286" s="4">
        <f>PodDop!J126</f>
        <v>285</v>
      </c>
      <c r="G286" s="4"/>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Y286" s="4"/>
      <c r="Z286" s="4"/>
      <c r="AA286" s="4"/>
      <c r="AB286" s="4"/>
      <c r="AC286" s="16"/>
    </row>
    <row r="287" spans="1:29" ht="12.75">
      <c r="A287" s="10"/>
      <c r="B287" s="11"/>
      <c r="C287" s="4"/>
      <c r="D287" s="4" t="s">
        <v>94</v>
      </c>
      <c r="E287" s="4">
        <v>3</v>
      </c>
      <c r="F287" s="4">
        <f>PodDop!J127</f>
        <v>286</v>
      </c>
      <c r="G287" s="4"/>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Y287" s="4"/>
      <c r="Z287" s="4"/>
      <c r="AA287" s="4"/>
      <c r="AB287" s="4"/>
      <c r="AC287" s="16"/>
    </row>
    <row r="288" spans="1:29" ht="12.75">
      <c r="A288" s="10"/>
      <c r="B288" s="11"/>
      <c r="C288" s="4"/>
      <c r="D288" s="4" t="s">
        <v>94</v>
      </c>
      <c r="E288" s="4">
        <v>3</v>
      </c>
      <c r="F288" s="4">
        <f>PodDop!J128</f>
        <v>287</v>
      </c>
      <c r="G288" s="4"/>
      <c r="H288" s="12">
        <f t="shared" si="18"/>
        <v>0</v>
      </c>
      <c r="I288" s="4">
        <f t="shared" si="19"/>
        <v>0</v>
      </c>
      <c r="J288" s="14">
        <f>PodDop!K128</f>
        <v>0</v>
      </c>
      <c r="K288" s="15">
        <f>PodDop!L128</f>
        <v>0</v>
      </c>
      <c r="L288" s="14"/>
      <c r="M288" s="13"/>
      <c r="N288" s="13"/>
      <c r="O288" s="13"/>
      <c r="P288" s="13"/>
      <c r="Q288" s="13"/>
      <c r="R288" s="13"/>
      <c r="S288" s="13"/>
      <c r="T288" s="13"/>
      <c r="U288" s="13"/>
      <c r="V288" s="13"/>
      <c r="W288" s="13"/>
      <c r="X288" s="15"/>
      <c r="Y288" s="4"/>
      <c r="Z288" s="4"/>
      <c r="AA288" s="4"/>
      <c r="AB288" s="4"/>
      <c r="AC288" s="16"/>
    </row>
    <row r="289" spans="1:29" ht="12.75">
      <c r="A289" s="10"/>
      <c r="B289" s="11"/>
      <c r="C289" s="4"/>
      <c r="D289" s="4" t="s">
        <v>94</v>
      </c>
      <c r="E289" s="4">
        <v>3</v>
      </c>
      <c r="F289" s="4">
        <f>PodDop!J129</f>
        <v>288</v>
      </c>
      <c r="G289" s="4"/>
      <c r="H289" s="12">
        <f t="shared" si="18"/>
        <v>0</v>
      </c>
      <c r="I289" s="4">
        <f t="shared" si="19"/>
        <v>0</v>
      </c>
      <c r="J289" s="14">
        <f>PodDop!K129</f>
        <v>0</v>
      </c>
      <c r="K289" s="15">
        <f>PodDop!L129</f>
        <v>0</v>
      </c>
      <c r="L289" s="14"/>
      <c r="M289" s="13"/>
      <c r="N289" s="13"/>
      <c r="O289" s="13"/>
      <c r="P289" s="13"/>
      <c r="Q289" s="13"/>
      <c r="R289" s="13"/>
      <c r="S289" s="13"/>
      <c r="T289" s="13"/>
      <c r="U289" s="13"/>
      <c r="V289" s="13"/>
      <c r="W289" s="13"/>
      <c r="X289" s="15"/>
      <c r="Y289" s="4"/>
      <c r="Z289" s="4"/>
      <c r="AA289" s="4"/>
      <c r="AB289" s="4"/>
      <c r="AC289" s="16"/>
    </row>
    <row r="290" spans="1:29" ht="12.75">
      <c r="A290" s="10"/>
      <c r="B290" s="11"/>
      <c r="C290" s="4"/>
      <c r="D290" s="4" t="s">
        <v>94</v>
      </c>
      <c r="E290" s="4">
        <v>3</v>
      </c>
      <c r="F290" s="4">
        <f>PodDop!J130</f>
        <v>289</v>
      </c>
      <c r="G290" s="4"/>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Y290" s="4"/>
      <c r="Z290" s="4"/>
      <c r="AA290" s="4"/>
      <c r="AB290" s="4"/>
      <c r="AC290" s="16"/>
    </row>
    <row r="291" spans="1:29" ht="12.75">
      <c r="A291" s="10"/>
      <c r="B291" s="11"/>
      <c r="C291" s="4"/>
      <c r="D291" s="4" t="s">
        <v>94</v>
      </c>
      <c r="E291" s="4">
        <v>3</v>
      </c>
      <c r="F291" s="4">
        <f>PodDop!J131</f>
        <v>290</v>
      </c>
      <c r="G291" s="4"/>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Y291" s="4"/>
      <c r="Z291" s="4"/>
      <c r="AA291" s="4"/>
      <c r="AB291" s="4"/>
      <c r="AC291" s="16"/>
    </row>
    <row r="292" spans="1:29" ht="12.75">
      <c r="A292" s="10"/>
      <c r="B292" s="11"/>
      <c r="C292" s="4"/>
      <c r="D292" s="4" t="s">
        <v>94</v>
      </c>
      <c r="E292" s="4">
        <v>3</v>
      </c>
      <c r="F292" s="4">
        <f>PodDop!J132</f>
        <v>291</v>
      </c>
      <c r="G292" s="4"/>
      <c r="H292" s="12">
        <f t="shared" si="18"/>
        <v>0</v>
      </c>
      <c r="I292" s="4">
        <f t="shared" si="19"/>
        <v>0</v>
      </c>
      <c r="J292" s="14">
        <f>PodDop!K132</f>
        <v>0</v>
      </c>
      <c r="K292" s="15">
        <f>PodDop!L132</f>
        <v>0</v>
      </c>
      <c r="L292" s="14"/>
      <c r="M292" s="13"/>
      <c r="N292" s="13"/>
      <c r="O292" s="13"/>
      <c r="P292" s="13"/>
      <c r="Q292" s="13"/>
      <c r="R292" s="13"/>
      <c r="S292" s="13"/>
      <c r="T292" s="13"/>
      <c r="U292" s="13"/>
      <c r="V292" s="13"/>
      <c r="W292" s="13"/>
      <c r="X292" s="15"/>
      <c r="Y292" s="4"/>
      <c r="Z292" s="4"/>
      <c r="AA292" s="4"/>
      <c r="AB292" s="4"/>
      <c r="AC292" s="16"/>
    </row>
    <row r="293" spans="1:29" ht="12.75">
      <c r="A293" s="10"/>
      <c r="B293" s="11"/>
      <c r="C293" s="4"/>
      <c r="D293" s="4" t="s">
        <v>94</v>
      </c>
      <c r="E293" s="4">
        <v>3</v>
      </c>
      <c r="F293" s="4">
        <f>PodDop!J133</f>
        <v>292</v>
      </c>
      <c r="G293" s="4"/>
      <c r="H293" s="12">
        <f t="shared" si="18"/>
        <v>0</v>
      </c>
      <c r="I293" s="4">
        <f t="shared" si="19"/>
        <v>0</v>
      </c>
      <c r="J293" s="14">
        <f>PodDop!K133</f>
        <v>0</v>
      </c>
      <c r="K293" s="15">
        <f>PodDop!L133</f>
        <v>0</v>
      </c>
      <c r="L293" s="14"/>
      <c r="M293" s="13"/>
      <c r="N293" s="13"/>
      <c r="O293" s="13"/>
      <c r="P293" s="13"/>
      <c r="Q293" s="13"/>
      <c r="R293" s="13"/>
      <c r="S293" s="13"/>
      <c r="T293" s="13"/>
      <c r="U293" s="13"/>
      <c r="V293" s="13"/>
      <c r="W293" s="13"/>
      <c r="X293" s="15"/>
      <c r="Y293" s="4"/>
      <c r="Z293" s="4"/>
      <c r="AA293" s="4"/>
      <c r="AB293" s="4"/>
      <c r="AC293" s="16"/>
    </row>
    <row r="294" spans="1:29" ht="12.75">
      <c r="A294" s="10"/>
      <c r="B294" s="11"/>
      <c r="C294" s="4"/>
      <c r="D294" s="4" t="s">
        <v>94</v>
      </c>
      <c r="E294" s="4">
        <v>3</v>
      </c>
      <c r="F294" s="4">
        <f>PodDop!J134</f>
        <v>293</v>
      </c>
      <c r="G294" s="4"/>
      <c r="H294" s="12">
        <f t="shared" si="18"/>
        <v>0</v>
      </c>
      <c r="I294" s="4">
        <f t="shared" si="19"/>
        <v>0</v>
      </c>
      <c r="J294" s="14">
        <f>PodDop!K134</f>
        <v>0</v>
      </c>
      <c r="K294" s="15">
        <f>PodDop!L134</f>
        <v>0</v>
      </c>
      <c r="L294" s="14"/>
      <c r="M294" s="13"/>
      <c r="N294" s="13"/>
      <c r="O294" s="13"/>
      <c r="P294" s="13"/>
      <c r="Q294" s="13"/>
      <c r="R294" s="13"/>
      <c r="S294" s="13"/>
      <c r="T294" s="13"/>
      <c r="U294" s="13"/>
      <c r="V294" s="13"/>
      <c r="W294" s="13"/>
      <c r="X294" s="15"/>
      <c r="Y294" s="4"/>
      <c r="Z294" s="4"/>
      <c r="AA294" s="4"/>
      <c r="AB294" s="4"/>
      <c r="AC294" s="16"/>
    </row>
    <row r="295" spans="1:29" ht="12.75">
      <c r="A295" s="10"/>
      <c r="B295" s="11"/>
      <c r="C295" s="4"/>
      <c r="D295" s="4" t="s">
        <v>94</v>
      </c>
      <c r="E295" s="4">
        <v>3</v>
      </c>
      <c r="F295" s="4">
        <f>PodDop!J136</f>
        <v>294</v>
      </c>
      <c r="G295" s="4"/>
      <c r="H295" s="12">
        <f aca="true" t="shared" si="20" ref="H295:H303">J295/100*F295+2*K295/100*F295</f>
        <v>0</v>
      </c>
      <c r="I295" s="4">
        <f aca="true" t="shared" si="21" ref="I295:I303">ABS(ROUND(J295,0)-J295)+ABS(ROUND(K295,0)-K295)</f>
        <v>0</v>
      </c>
      <c r="J295" s="14">
        <f>PodDop!K136</f>
        <v>0</v>
      </c>
      <c r="K295" s="15">
        <f>PodDop!L136</f>
        <v>0</v>
      </c>
      <c r="L295" s="14"/>
      <c r="M295" s="13"/>
      <c r="N295" s="13"/>
      <c r="O295" s="13"/>
      <c r="P295" s="13"/>
      <c r="Q295" s="13"/>
      <c r="R295" s="13"/>
      <c r="S295" s="13"/>
      <c r="T295" s="13"/>
      <c r="U295" s="13"/>
      <c r="V295" s="13"/>
      <c r="W295" s="13"/>
      <c r="X295" s="15"/>
      <c r="Y295" s="4"/>
      <c r="Z295" s="4"/>
      <c r="AA295" s="4"/>
      <c r="AB295" s="4"/>
      <c r="AC295" s="16"/>
    </row>
    <row r="296" spans="1:29" ht="12.75">
      <c r="A296" s="10"/>
      <c r="B296" s="11"/>
      <c r="C296" s="4"/>
      <c r="D296" s="4" t="s">
        <v>94</v>
      </c>
      <c r="E296" s="4">
        <v>3</v>
      </c>
      <c r="F296" s="4">
        <f>PodDop!J137</f>
        <v>295</v>
      </c>
      <c r="G296" s="4"/>
      <c r="H296" s="12">
        <f t="shared" si="20"/>
        <v>0</v>
      </c>
      <c r="I296" s="4">
        <f t="shared" si="21"/>
        <v>0</v>
      </c>
      <c r="J296" s="14">
        <f>PodDop!K137</f>
        <v>0</v>
      </c>
      <c r="K296" s="15">
        <f>PodDop!L137</f>
        <v>0</v>
      </c>
      <c r="L296" s="14"/>
      <c r="M296" s="13"/>
      <c r="N296" s="13"/>
      <c r="O296" s="13"/>
      <c r="P296" s="13"/>
      <c r="Q296" s="13"/>
      <c r="R296" s="13"/>
      <c r="S296" s="13"/>
      <c r="T296" s="13"/>
      <c r="U296" s="13"/>
      <c r="V296" s="13"/>
      <c r="W296" s="13"/>
      <c r="X296" s="15"/>
      <c r="Y296" s="4"/>
      <c r="Z296" s="4"/>
      <c r="AA296" s="4"/>
      <c r="AB296" s="4"/>
      <c r="AC296" s="16"/>
    </row>
    <row r="297" spans="1:29" ht="12.75">
      <c r="A297" s="10"/>
      <c r="B297" s="11"/>
      <c r="C297" s="4"/>
      <c r="D297" s="4" t="s">
        <v>94</v>
      </c>
      <c r="E297" s="4">
        <v>3</v>
      </c>
      <c r="F297" s="4">
        <f>PodDop!J138</f>
        <v>296</v>
      </c>
      <c r="G297" s="4"/>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Y297" s="4"/>
      <c r="Z297" s="4"/>
      <c r="AA297" s="4"/>
      <c r="AB297" s="4"/>
      <c r="AC297" s="16"/>
    </row>
    <row r="298" spans="1:29" ht="12.75">
      <c r="A298" s="10"/>
      <c r="B298" s="11"/>
      <c r="C298" s="4"/>
      <c r="D298" s="4" t="s">
        <v>94</v>
      </c>
      <c r="E298" s="4">
        <v>3</v>
      </c>
      <c r="F298" s="4">
        <f>PodDop!J139</f>
        <v>297</v>
      </c>
      <c r="G298" s="4"/>
      <c r="H298" s="12">
        <f t="shared" si="20"/>
        <v>0</v>
      </c>
      <c r="I298" s="4">
        <f t="shared" si="21"/>
        <v>0</v>
      </c>
      <c r="J298" s="14">
        <f>PodDop!K139</f>
        <v>0</v>
      </c>
      <c r="K298" s="15">
        <f>PodDop!L139</f>
        <v>0</v>
      </c>
      <c r="L298" s="14"/>
      <c r="M298" s="13"/>
      <c r="N298" s="13"/>
      <c r="O298" s="13"/>
      <c r="P298" s="13"/>
      <c r="Q298" s="13"/>
      <c r="R298" s="13"/>
      <c r="S298" s="13"/>
      <c r="T298" s="13"/>
      <c r="U298" s="13"/>
      <c r="V298" s="13"/>
      <c r="W298" s="13"/>
      <c r="X298" s="15"/>
      <c r="Y298" s="4"/>
      <c r="Z298" s="4"/>
      <c r="AA298" s="4"/>
      <c r="AB298" s="4"/>
      <c r="AC298" s="16"/>
    </row>
    <row r="299" spans="1:29" ht="12.75">
      <c r="A299" s="10"/>
      <c r="B299" s="11"/>
      <c r="C299" s="4"/>
      <c r="D299" s="4" t="s">
        <v>94</v>
      </c>
      <c r="E299" s="4">
        <v>3</v>
      </c>
      <c r="F299" s="4">
        <f>PodDop!J140</f>
        <v>298</v>
      </c>
      <c r="G299" s="4"/>
      <c r="H299" s="12">
        <f t="shared" si="20"/>
        <v>0</v>
      </c>
      <c r="I299" s="4">
        <f t="shared" si="21"/>
        <v>0</v>
      </c>
      <c r="J299" s="14">
        <f>PodDop!K140</f>
        <v>0</v>
      </c>
      <c r="K299" s="15">
        <f>PodDop!L140</f>
        <v>0</v>
      </c>
      <c r="L299" s="14"/>
      <c r="M299" s="13"/>
      <c r="N299" s="13"/>
      <c r="O299" s="13"/>
      <c r="P299" s="13"/>
      <c r="Q299" s="13"/>
      <c r="R299" s="13"/>
      <c r="S299" s="13"/>
      <c r="T299" s="13"/>
      <c r="U299" s="13"/>
      <c r="V299" s="13"/>
      <c r="W299" s="13"/>
      <c r="X299" s="15"/>
      <c r="Y299" s="4"/>
      <c r="Z299" s="4"/>
      <c r="AA299" s="4"/>
      <c r="AB299" s="4"/>
      <c r="AC299" s="16"/>
    </row>
    <row r="300" spans="1:29" ht="12.75">
      <c r="A300" s="10"/>
      <c r="B300" s="11"/>
      <c r="C300" s="4"/>
      <c r="D300" s="4" t="s">
        <v>94</v>
      </c>
      <c r="E300" s="4">
        <v>3</v>
      </c>
      <c r="F300" s="4">
        <f>PodDop!J141</f>
        <v>299</v>
      </c>
      <c r="G300" s="4"/>
      <c r="H300" s="12">
        <f t="shared" si="20"/>
        <v>0</v>
      </c>
      <c r="I300" s="4">
        <f t="shared" si="21"/>
        <v>0</v>
      </c>
      <c r="J300" s="14">
        <f>PodDop!K141</f>
        <v>0</v>
      </c>
      <c r="K300" s="15">
        <f>PodDop!L141</f>
        <v>0</v>
      </c>
      <c r="L300" s="14"/>
      <c r="M300" s="13"/>
      <c r="N300" s="13"/>
      <c r="O300" s="13"/>
      <c r="P300" s="13"/>
      <c r="Q300" s="13"/>
      <c r="R300" s="13"/>
      <c r="S300" s="13"/>
      <c r="T300" s="13"/>
      <c r="U300" s="13"/>
      <c r="V300" s="13"/>
      <c r="W300" s="13"/>
      <c r="X300" s="15"/>
      <c r="Y300" s="4"/>
      <c r="Z300" s="4"/>
      <c r="AA300" s="4"/>
      <c r="AB300" s="4"/>
      <c r="AC300" s="16"/>
    </row>
    <row r="301" spans="1:29" ht="12.75">
      <c r="A301" s="10"/>
      <c r="B301" s="11"/>
      <c r="C301" s="4"/>
      <c r="D301" s="4" t="s">
        <v>94</v>
      </c>
      <c r="E301" s="4">
        <v>3</v>
      </c>
      <c r="F301" s="4">
        <f>PodDop!J142</f>
        <v>300</v>
      </c>
      <c r="G301" s="4"/>
      <c r="H301" s="12">
        <f t="shared" si="20"/>
        <v>0</v>
      </c>
      <c r="I301" s="4">
        <f t="shared" si="21"/>
        <v>0</v>
      </c>
      <c r="J301" s="14">
        <f>PodDop!K142</f>
        <v>0</v>
      </c>
      <c r="K301" s="15">
        <f>PodDop!L142</f>
        <v>0</v>
      </c>
      <c r="L301" s="14"/>
      <c r="M301" s="13"/>
      <c r="N301" s="13"/>
      <c r="O301" s="13"/>
      <c r="P301" s="13"/>
      <c r="Q301" s="13"/>
      <c r="R301" s="13"/>
      <c r="S301" s="13"/>
      <c r="T301" s="13"/>
      <c r="U301" s="13"/>
      <c r="V301" s="13"/>
      <c r="W301" s="13"/>
      <c r="X301" s="15"/>
      <c r="Y301" s="4"/>
      <c r="Z301" s="4"/>
      <c r="AA301" s="4"/>
      <c r="AB301" s="4"/>
      <c r="AC301" s="16"/>
    </row>
    <row r="302" spans="1:29" ht="12.75">
      <c r="A302" s="10"/>
      <c r="B302" s="11"/>
      <c r="C302" s="4"/>
      <c r="D302" s="4" t="s">
        <v>94</v>
      </c>
      <c r="E302" s="4">
        <v>3</v>
      </c>
      <c r="F302" s="4">
        <f>PodDop!J143</f>
        <v>301</v>
      </c>
      <c r="G302" s="4"/>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Y302" s="4"/>
      <c r="Z302" s="4"/>
      <c r="AA302" s="4"/>
      <c r="AB302" s="4"/>
      <c r="AC302" s="16"/>
    </row>
    <row r="303" spans="1:29" ht="12.75">
      <c r="A303" s="10"/>
      <c r="B303" s="11"/>
      <c r="C303" s="4"/>
      <c r="D303" s="4" t="s">
        <v>94</v>
      </c>
      <c r="E303" s="4">
        <v>3</v>
      </c>
      <c r="F303" s="4">
        <f>PodDop!J144</f>
        <v>302</v>
      </c>
      <c r="G303" s="4"/>
      <c r="H303" s="12">
        <f t="shared" si="20"/>
        <v>0</v>
      </c>
      <c r="I303" s="4">
        <f t="shared" si="21"/>
        <v>0</v>
      </c>
      <c r="J303" s="14">
        <f>PodDop!K144</f>
        <v>0</v>
      </c>
      <c r="K303" s="15">
        <f>PodDop!L144</f>
        <v>0</v>
      </c>
      <c r="L303" s="14"/>
      <c r="M303" s="13"/>
      <c r="N303" s="13"/>
      <c r="O303" s="13"/>
      <c r="P303" s="13"/>
      <c r="Q303" s="13"/>
      <c r="R303" s="13"/>
      <c r="S303" s="13"/>
      <c r="T303" s="13"/>
      <c r="U303" s="13"/>
      <c r="V303" s="13"/>
      <c r="W303" s="13"/>
      <c r="X303" s="15"/>
      <c r="Y303" s="4"/>
      <c r="Z303" s="4"/>
      <c r="AA303" s="4"/>
      <c r="AB303" s="4"/>
      <c r="AC303" s="16"/>
    </row>
    <row r="304" spans="1:29" ht="12.75">
      <c r="A304" s="10"/>
      <c r="B304" s="11"/>
      <c r="C304" s="4"/>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Y304" s="4"/>
      <c r="Z304" s="4"/>
      <c r="AA304" s="4"/>
      <c r="AB304" s="4"/>
      <c r="AC304" s="16"/>
    </row>
    <row r="305" spans="1:29" ht="12.75">
      <c r="A305" s="10"/>
      <c r="B305" s="11"/>
      <c r="C305" s="4"/>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Y305" s="4"/>
      <c r="Z305" s="4"/>
      <c r="AA305" s="4"/>
      <c r="AB305" s="4"/>
      <c r="AC305" s="16"/>
    </row>
    <row r="306" spans="1:29" ht="12.75">
      <c r="A306" s="10"/>
      <c r="B306" s="11"/>
      <c r="C306" s="4"/>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Y306" s="4"/>
      <c r="Z306" s="4"/>
      <c r="AA306" s="4"/>
      <c r="AB306" s="4"/>
      <c r="AC306" s="16"/>
    </row>
    <row r="307" spans="1:29" ht="12.75">
      <c r="A307" s="10"/>
      <c r="B307" s="11"/>
      <c r="C307" s="4"/>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Y307" s="4"/>
      <c r="Z307" s="4"/>
      <c r="AA307" s="4"/>
      <c r="AB307" s="4"/>
      <c r="AC307" s="16"/>
    </row>
    <row r="308" spans="1:29" ht="12.75">
      <c r="A308" s="10"/>
      <c r="B308" s="11"/>
      <c r="C308" s="4"/>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Y308" s="4"/>
      <c r="Z308" s="4"/>
      <c r="AA308" s="4"/>
      <c r="AB308" s="4"/>
      <c r="AC308" s="16"/>
    </row>
    <row r="309" spans="1:29" ht="12.75">
      <c r="A309" s="10"/>
      <c r="B309" s="11"/>
      <c r="C309" s="4"/>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Y309" s="4"/>
      <c r="Z309" s="4"/>
      <c r="AA309" s="4"/>
      <c r="AB309" s="4"/>
      <c r="AC309" s="16"/>
    </row>
    <row r="310" spans="1:29" ht="12.75">
      <c r="A310" s="10"/>
      <c r="B310" s="11"/>
      <c r="C310" s="4"/>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Y310" s="4"/>
      <c r="Z310" s="4"/>
      <c r="AA310" s="4"/>
      <c r="AB310" s="4"/>
      <c r="AC310" s="16"/>
    </row>
    <row r="311" spans="1:29" ht="12.75">
      <c r="A311" s="10"/>
      <c r="B311" s="11"/>
      <c r="C311" s="4"/>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Y311" s="4"/>
      <c r="Z311" s="4"/>
      <c r="AA311" s="4"/>
      <c r="AB311" s="4"/>
      <c r="AC311" s="16"/>
    </row>
    <row r="312" spans="1:29" ht="12.75">
      <c r="A312" s="10"/>
      <c r="B312" s="11"/>
      <c r="C312" s="4"/>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Y312" s="4"/>
      <c r="Z312" s="4"/>
      <c r="AA312" s="4"/>
      <c r="AB312" s="4"/>
      <c r="AC312" s="16"/>
    </row>
    <row r="313" spans="1:29" ht="12.75">
      <c r="A313" s="10"/>
      <c r="B313" s="11"/>
      <c r="C313" s="4"/>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Y313" s="4"/>
      <c r="Z313" s="4"/>
      <c r="AA313" s="4"/>
      <c r="AB313" s="4"/>
      <c r="AC313" s="16"/>
    </row>
    <row r="314" spans="1:29" ht="12.75">
      <c r="A314" s="10"/>
      <c r="B314" s="11"/>
      <c r="C314" s="4"/>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Y314" s="4"/>
      <c r="Z314" s="4"/>
      <c r="AA314" s="4"/>
      <c r="AB314" s="4"/>
      <c r="AC314" s="16"/>
    </row>
    <row r="315" spans="1:29" ht="12.75">
      <c r="A315" s="10"/>
      <c r="B315" s="11"/>
      <c r="C315" s="4"/>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Y315" s="4"/>
      <c r="Z315" s="4"/>
      <c r="AA315" s="4"/>
      <c r="AB315" s="4"/>
      <c r="AC315" s="16"/>
    </row>
    <row r="316" spans="1:29" ht="12.75">
      <c r="A316" s="10"/>
      <c r="B316" s="11"/>
      <c r="C316" s="4"/>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Y316" s="4"/>
      <c r="Z316" s="4"/>
      <c r="AA316" s="4"/>
      <c r="AB316" s="4"/>
      <c r="AC316" s="16"/>
    </row>
    <row r="317" spans="1:29" ht="12.75">
      <c r="A317" s="10"/>
      <c r="B317" s="11"/>
      <c r="C317" s="4"/>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Y317" s="4"/>
      <c r="Z317" s="4"/>
      <c r="AA317" s="4"/>
      <c r="AB317" s="4"/>
      <c r="AC317" s="16"/>
    </row>
    <row r="318" spans="1:29" ht="12.75">
      <c r="A318" s="10"/>
      <c r="B318" s="11"/>
      <c r="C318" s="4"/>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Y318" s="4"/>
      <c r="Z318" s="4"/>
      <c r="AA318" s="4"/>
      <c r="AB318" s="4"/>
      <c r="AC318" s="16"/>
    </row>
    <row r="319" spans="1:29" ht="12.75">
      <c r="A319" s="10"/>
      <c r="B319" s="11"/>
      <c r="C319" s="4"/>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Y319" s="4"/>
      <c r="Z319" s="4"/>
      <c r="AA319" s="4"/>
      <c r="AB319" s="4"/>
      <c r="AC319" s="16"/>
    </row>
    <row r="320" spans="1:29" ht="12.75">
      <c r="A320" s="10"/>
      <c r="B320" s="11"/>
      <c r="C320" s="4"/>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Y320" s="4"/>
      <c r="Z320" s="4"/>
      <c r="AA320" s="4"/>
      <c r="AB320" s="4"/>
      <c r="AC320" s="16"/>
    </row>
    <row r="321" spans="1:29" ht="12.75">
      <c r="A321" s="10"/>
      <c r="B321" s="11"/>
      <c r="C321" s="4"/>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Y321" s="4"/>
      <c r="Z321" s="4"/>
      <c r="AA321" s="4"/>
      <c r="AB321" s="4"/>
      <c r="AC321" s="16"/>
    </row>
    <row r="322" spans="1:29" ht="12.75">
      <c r="A322" s="10"/>
      <c r="B322" s="11"/>
      <c r="C322" s="4"/>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Y322" s="4"/>
      <c r="Z322" s="4"/>
      <c r="AA322" s="4"/>
      <c r="AB322" s="4"/>
      <c r="AC322" s="16"/>
    </row>
    <row r="323" spans="1:29" ht="12.75">
      <c r="A323" s="10"/>
      <c r="B323" s="11"/>
      <c r="C323" s="4"/>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Y323" s="4"/>
      <c r="Z323" s="4"/>
      <c r="AA323" s="4"/>
      <c r="AB323" s="4"/>
      <c r="AC323" s="16"/>
    </row>
    <row r="324" spans="1:29" ht="12.75">
      <c r="A324" s="10"/>
      <c r="B324" s="11"/>
      <c r="C324" s="4"/>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Y324" s="4"/>
      <c r="Z324" s="4"/>
      <c r="AA324" s="4"/>
      <c r="AB324" s="4"/>
      <c r="AC324" s="16"/>
    </row>
    <row r="325" spans="1:29" ht="12.75">
      <c r="A325" s="10"/>
      <c r="B325" s="11"/>
      <c r="C325" s="4"/>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Y325" s="4"/>
      <c r="Z325" s="4"/>
      <c r="AA325" s="4"/>
      <c r="AB325" s="4"/>
      <c r="AC325" s="16"/>
    </row>
    <row r="326" spans="1:29" ht="12.75">
      <c r="A326" s="10"/>
      <c r="B326" s="11"/>
      <c r="C326" s="4"/>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Y326" s="4"/>
      <c r="Z326" s="4"/>
      <c r="AA326" s="4"/>
      <c r="AB326" s="4"/>
      <c r="AC326" s="16"/>
    </row>
    <row r="327" spans="1:29" ht="12.75">
      <c r="A327" s="10"/>
      <c r="B327" s="11"/>
      <c r="C327" s="4"/>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Y327" s="4"/>
      <c r="Z327" s="4"/>
      <c r="AA327" s="4"/>
      <c r="AB327" s="4"/>
      <c r="AC327" s="16"/>
    </row>
    <row r="328" spans="1:29" ht="12.75">
      <c r="A328" s="10"/>
      <c r="B328" s="11"/>
      <c r="C328" s="4"/>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Y328" s="4"/>
      <c r="Z328" s="4"/>
      <c r="AA328" s="4"/>
      <c r="AB328" s="4"/>
      <c r="AC328" s="16"/>
    </row>
    <row r="329" spans="1:29" ht="12.75">
      <c r="A329" s="10"/>
      <c r="B329" s="11"/>
      <c r="C329" s="4"/>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Y329" s="4"/>
      <c r="Z329" s="4"/>
      <c r="AA329" s="4"/>
      <c r="AB329" s="4"/>
      <c r="AC329" s="16"/>
    </row>
    <row r="330" spans="1:29" ht="12.75">
      <c r="A330" s="10"/>
      <c r="B330" s="11"/>
      <c r="C330" s="4"/>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Y330" s="4"/>
      <c r="Z330" s="4"/>
      <c r="AA330" s="4"/>
      <c r="AB330" s="4"/>
      <c r="AC330" s="16"/>
    </row>
    <row r="331" spans="1:29" ht="12.75">
      <c r="A331" s="10"/>
      <c r="B331" s="11"/>
      <c r="C331" s="4"/>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Y331" s="4"/>
      <c r="Z331" s="4"/>
      <c r="AA331" s="4"/>
      <c r="AB331" s="4"/>
      <c r="AC331" s="16"/>
    </row>
    <row r="332" spans="1:29" ht="12.75">
      <c r="A332" s="10"/>
      <c r="B332" s="11"/>
      <c r="C332" s="4"/>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Y332" s="4"/>
      <c r="Z332" s="4"/>
      <c r="AA332" s="4"/>
      <c r="AB332" s="4"/>
      <c r="AC332" s="16"/>
    </row>
    <row r="333" spans="1:29" ht="12.75">
      <c r="A333" s="10"/>
      <c r="B333" s="11"/>
      <c r="C333" s="4"/>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Y333" s="4"/>
      <c r="Z333" s="4"/>
      <c r="AA333" s="4"/>
      <c r="AB333" s="4"/>
      <c r="AC333" s="16"/>
    </row>
    <row r="334" spans="1:29" ht="12.75">
      <c r="A334" s="10"/>
      <c r="B334" s="11"/>
      <c r="C334" s="4"/>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Y334" s="4"/>
      <c r="Z334" s="4"/>
      <c r="AA334" s="4"/>
      <c r="AB334" s="4"/>
      <c r="AC334" s="16"/>
    </row>
    <row r="335" spans="1:29" ht="12.75">
      <c r="A335" s="10"/>
      <c r="B335" s="11"/>
      <c r="C335" s="4"/>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Y335" s="4"/>
      <c r="Z335" s="4"/>
      <c r="AA335" s="4"/>
      <c r="AB335" s="4"/>
      <c r="AC335" s="16"/>
    </row>
    <row r="336" spans="1:29" ht="12.75">
      <c r="A336" s="10"/>
      <c r="B336" s="11"/>
      <c r="C336" s="4"/>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Y336" s="4"/>
      <c r="Z336" s="4"/>
      <c r="AA336" s="4"/>
      <c r="AB336" s="4"/>
      <c r="AC336" s="16"/>
    </row>
    <row r="337" spans="1:29" ht="12.75">
      <c r="A337" s="10"/>
      <c r="B337" s="11"/>
      <c r="C337" s="4"/>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Y337" s="4"/>
      <c r="Z337" s="4"/>
      <c r="AA337" s="4"/>
      <c r="AB337" s="4"/>
      <c r="AC337" s="16"/>
    </row>
    <row r="338" spans="1:29" ht="12.75">
      <c r="A338" s="10"/>
      <c r="B338" s="11"/>
      <c r="C338" s="4"/>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Y338" s="4"/>
      <c r="Z338" s="4"/>
      <c r="AA338" s="4"/>
      <c r="AB338" s="4"/>
      <c r="AC338" s="16"/>
    </row>
    <row r="339" spans="1:29" ht="12.75">
      <c r="A339" s="10"/>
      <c r="B339" s="11"/>
      <c r="C339" s="4"/>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Y339" s="4"/>
      <c r="Z339" s="4"/>
      <c r="AA339" s="4"/>
      <c r="AB339" s="4"/>
      <c r="AC339" s="16"/>
    </row>
    <row r="340" spans="1:29" ht="12.75">
      <c r="A340" s="10"/>
      <c r="B340" s="11"/>
      <c r="C340" s="4"/>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Y340" s="4"/>
      <c r="Z340" s="4"/>
      <c r="AA340" s="4"/>
      <c r="AB340" s="4"/>
      <c r="AC340" s="16"/>
    </row>
    <row r="341" spans="1:29" ht="12.75">
      <c r="A341" s="10"/>
      <c r="B341" s="11"/>
      <c r="C341" s="4"/>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Y341" s="4"/>
      <c r="Z341" s="4"/>
      <c r="AA341" s="4"/>
      <c r="AB341" s="4"/>
      <c r="AC341" s="16"/>
    </row>
    <row r="342" spans="1:29" ht="12.75">
      <c r="A342" s="10"/>
      <c r="B342" s="11"/>
      <c r="C342" s="4"/>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Y342" s="4"/>
      <c r="Z342" s="4"/>
      <c r="AA342" s="4"/>
      <c r="AB342" s="4"/>
      <c r="AC342" s="16"/>
    </row>
    <row r="343" spans="1:29" ht="12.75">
      <c r="A343" s="10"/>
      <c r="B343" s="11"/>
      <c r="C343" s="4"/>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Y343" s="4"/>
      <c r="Z343" s="4"/>
      <c r="AA343" s="4"/>
      <c r="AB343" s="4"/>
      <c r="AC343" s="16"/>
    </row>
    <row r="344" spans="1:29" ht="12.75">
      <c r="A344" s="10"/>
      <c r="B344" s="11"/>
      <c r="C344" s="4"/>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Y344" s="4"/>
      <c r="Z344" s="4"/>
      <c r="AA344" s="4"/>
      <c r="AB344" s="4"/>
      <c r="AC344" s="16"/>
    </row>
    <row r="345" spans="1:29" ht="12.75">
      <c r="A345" s="10"/>
      <c r="B345" s="11"/>
      <c r="C345" s="4"/>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Y345" s="4"/>
      <c r="Z345" s="4"/>
      <c r="AA345" s="4"/>
      <c r="AB345" s="4"/>
      <c r="AC345" s="16"/>
    </row>
    <row r="346" spans="1:29" ht="12.75">
      <c r="A346" s="10"/>
      <c r="B346" s="11"/>
      <c r="C346" s="4"/>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Y346" s="4"/>
      <c r="Z346" s="4"/>
      <c r="AA346" s="4"/>
      <c r="AB346" s="4"/>
      <c r="AC346" s="16"/>
    </row>
    <row r="347" spans="1:29" ht="12.75">
      <c r="A347" s="10"/>
      <c r="B347" s="11"/>
      <c r="C347" s="4"/>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Y347" s="4"/>
      <c r="Z347" s="4"/>
      <c r="AA347" s="4"/>
      <c r="AB347" s="4"/>
      <c r="AC347" s="16"/>
    </row>
    <row r="348" spans="1:29" ht="12.75">
      <c r="A348" s="10"/>
      <c r="B348" s="11"/>
      <c r="C348" s="4"/>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Y348" s="4"/>
      <c r="Z348" s="4"/>
      <c r="AA348" s="4"/>
      <c r="AB348" s="4"/>
      <c r="AC348" s="16"/>
    </row>
    <row r="349" spans="1:29" ht="12.75">
      <c r="A349" s="10"/>
      <c r="B349" s="11"/>
      <c r="C349" s="4"/>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Y349" s="4"/>
      <c r="Z349" s="4"/>
      <c r="AA349" s="4"/>
      <c r="AB349" s="4"/>
      <c r="AC349" s="16"/>
    </row>
    <row r="350" spans="1:29" ht="12.75">
      <c r="A350" s="10"/>
      <c r="B350" s="11"/>
      <c r="C350" s="4"/>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Y350" s="4"/>
      <c r="Z350" s="4"/>
      <c r="AA350" s="4"/>
      <c r="AB350" s="4"/>
      <c r="AC350" s="16"/>
    </row>
    <row r="351" spans="1:29" ht="12.75">
      <c r="A351" s="10"/>
      <c r="B351" s="11"/>
      <c r="C351" s="4"/>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Y351" s="4"/>
      <c r="Z351" s="4"/>
      <c r="AA351" s="4"/>
      <c r="AB351" s="4"/>
      <c r="AC351" s="16"/>
    </row>
    <row r="352" spans="1:29" ht="12.75">
      <c r="A352" s="10"/>
      <c r="B352" s="11"/>
      <c r="C352" s="4"/>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Y352" s="4"/>
      <c r="Z352" s="4"/>
      <c r="AA352" s="4"/>
      <c r="AB352" s="4"/>
      <c r="AC352" s="16"/>
    </row>
    <row r="353" spans="1:29" ht="12.75">
      <c r="A353" s="10"/>
      <c r="B353" s="11"/>
      <c r="C353" s="4"/>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Y353" s="4"/>
      <c r="Z353" s="4"/>
      <c r="AA353" s="4"/>
      <c r="AB353" s="4"/>
      <c r="AC353" s="16"/>
    </row>
    <row r="354" spans="1:29" ht="12.75">
      <c r="A354" s="10"/>
      <c r="B354" s="11"/>
      <c r="C354" s="4"/>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Y354" s="4"/>
      <c r="Z354" s="4"/>
      <c r="AA354" s="4"/>
      <c r="AB354" s="4"/>
      <c r="AC354" s="16"/>
    </row>
    <row r="355" spans="1:29" ht="12.75">
      <c r="A355" s="10"/>
      <c r="B355" s="11"/>
      <c r="C355" s="4"/>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Y355" s="4"/>
      <c r="Z355" s="4"/>
      <c r="AA355" s="4"/>
      <c r="AB355" s="4"/>
      <c r="AC355" s="16"/>
    </row>
    <row r="356" spans="1:29" ht="12.75">
      <c r="A356" s="10"/>
      <c r="B356" s="11"/>
      <c r="C356" s="4"/>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Y356" s="4"/>
      <c r="Z356" s="4"/>
      <c r="AA356" s="4"/>
      <c r="AB356" s="4"/>
      <c r="AC356" s="16"/>
    </row>
    <row r="357" spans="1:29" ht="12.75">
      <c r="A357" s="10"/>
      <c r="B357" s="11"/>
      <c r="C357" s="4"/>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Y357" s="4"/>
      <c r="Z357" s="4"/>
      <c r="AA357" s="4"/>
      <c r="AB357" s="4"/>
      <c r="AC357" s="16"/>
    </row>
    <row r="358" spans="1:29" ht="12.75">
      <c r="A358" s="10"/>
      <c r="B358" s="11"/>
      <c r="C358" s="4"/>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Y358" s="4"/>
      <c r="Z358" s="4"/>
      <c r="AA358" s="4"/>
      <c r="AB358" s="4"/>
      <c r="AC358" s="16"/>
    </row>
    <row r="359" spans="1:29" ht="12.75">
      <c r="A359" s="10"/>
      <c r="B359" s="11"/>
      <c r="C359" s="4"/>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Y359" s="4"/>
      <c r="Z359" s="4"/>
      <c r="AA359" s="4"/>
      <c r="AB359" s="4"/>
      <c r="AC359" s="16"/>
    </row>
    <row r="360" spans="1:29" ht="12.75">
      <c r="A360" s="10"/>
      <c r="B360" s="11"/>
      <c r="C360" s="4"/>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Y360" s="4"/>
      <c r="Z360" s="4"/>
      <c r="AA360" s="4"/>
      <c r="AB360" s="4"/>
      <c r="AC360" s="16"/>
    </row>
    <row r="361" spans="1:29" ht="12.75">
      <c r="A361" s="10"/>
      <c r="B361" s="11"/>
      <c r="C361" s="4"/>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Y361" s="4"/>
      <c r="Z361" s="4"/>
      <c r="AA361" s="4"/>
      <c r="AB361" s="4"/>
      <c r="AC361" s="16"/>
    </row>
    <row r="362" spans="1:29" ht="12.75">
      <c r="A362" s="10"/>
      <c r="B362" s="11"/>
      <c r="C362" s="4"/>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Y362" s="4"/>
      <c r="Z362" s="4"/>
      <c r="AA362" s="4"/>
      <c r="AB362" s="4"/>
      <c r="AC362" s="16"/>
    </row>
    <row r="363" spans="1:29" ht="12.75">
      <c r="A363" s="10"/>
      <c r="B363" s="11"/>
      <c r="C363" s="4"/>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Y363" s="4"/>
      <c r="Z363" s="4"/>
      <c r="AA363" s="4"/>
      <c r="AB363" s="4"/>
      <c r="AC363" s="16"/>
    </row>
    <row r="364" spans="1:29" ht="12.75">
      <c r="A364" s="10"/>
      <c r="B364" s="11"/>
      <c r="C364" s="4"/>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Y364" s="4"/>
      <c r="Z364" s="4"/>
      <c r="AA364" s="4"/>
      <c r="AB364" s="4"/>
      <c r="AC364" s="16"/>
    </row>
    <row r="365" spans="1:29" ht="12.75">
      <c r="A365" s="10"/>
      <c r="B365" s="11"/>
      <c r="C365" s="4"/>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Y365" s="4"/>
      <c r="Z365" s="4"/>
      <c r="AA365" s="4"/>
      <c r="AB365" s="4"/>
      <c r="AC365" s="16"/>
    </row>
    <row r="366" spans="1:29" ht="12.75">
      <c r="A366" s="10"/>
      <c r="B366" s="11"/>
      <c r="C366" s="4"/>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Y366" s="4"/>
      <c r="Z366" s="4"/>
      <c r="AA366" s="4"/>
      <c r="AB366" s="4"/>
      <c r="AC366" s="16"/>
    </row>
    <row r="367" spans="1:29" ht="12.75">
      <c r="A367" s="10"/>
      <c r="B367" s="11"/>
      <c r="C367" s="4"/>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Y367" s="4"/>
      <c r="Z367" s="4"/>
      <c r="AA367" s="4"/>
      <c r="AB367" s="4"/>
      <c r="AC367" s="16"/>
    </row>
    <row r="368" spans="1:29" ht="12.75">
      <c r="A368" s="10"/>
      <c r="B368" s="11"/>
      <c r="C368" s="4"/>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Y368" s="4"/>
      <c r="Z368" s="4"/>
      <c r="AA368" s="4"/>
      <c r="AB368" s="4"/>
      <c r="AC368" s="16"/>
    </row>
    <row r="369" spans="1:29" ht="12.75">
      <c r="A369" s="10"/>
      <c r="B369" s="11"/>
      <c r="C369" s="4"/>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Y369" s="4"/>
      <c r="Z369" s="4"/>
      <c r="AA369" s="4"/>
      <c r="AB369" s="4"/>
      <c r="AC369" s="16"/>
    </row>
    <row r="370" spans="1:29" ht="12.75">
      <c r="A370" s="10"/>
      <c r="B370" s="11"/>
      <c r="C370" s="4"/>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Y370" s="4"/>
      <c r="Z370" s="4"/>
      <c r="AA370" s="4"/>
      <c r="AB370" s="4"/>
      <c r="AC370" s="16"/>
    </row>
    <row r="371" spans="1:29" ht="12.75">
      <c r="A371" s="10"/>
      <c r="B371" s="11"/>
      <c r="C371" s="4"/>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Y371" s="4"/>
      <c r="Z371" s="4"/>
      <c r="AA371" s="4"/>
      <c r="AB371" s="4"/>
      <c r="AC371" s="16"/>
    </row>
    <row r="372" spans="1:29" ht="12.75">
      <c r="A372" s="10"/>
      <c r="B372" s="11"/>
      <c r="C372" s="4"/>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Y372" s="4"/>
      <c r="Z372" s="4"/>
      <c r="AA372" s="4"/>
      <c r="AB372" s="4"/>
      <c r="AC372" s="16"/>
    </row>
    <row r="373" spans="1:29" ht="12.75">
      <c r="A373" s="10"/>
      <c r="B373" s="11"/>
      <c r="C373" s="4"/>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Y373" s="4"/>
      <c r="Z373" s="4"/>
      <c r="AA373" s="4"/>
      <c r="AB373" s="4"/>
      <c r="AC373" s="16"/>
    </row>
    <row r="374" spans="1:29" ht="12.75">
      <c r="A374" s="10"/>
      <c r="B374" s="11"/>
      <c r="C374" s="4"/>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Y374" s="4"/>
      <c r="Z374" s="4"/>
      <c r="AA374" s="4"/>
      <c r="AB374" s="4"/>
      <c r="AC374" s="16"/>
    </row>
    <row r="375" spans="1:29" ht="12.75">
      <c r="A375" s="10"/>
      <c r="B375" s="11"/>
      <c r="C375" s="4"/>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Y375" s="4"/>
      <c r="Z375" s="4"/>
      <c r="AA375" s="4"/>
      <c r="AB375" s="4"/>
      <c r="AC375" s="16"/>
    </row>
    <row r="376" spans="1:29" ht="12.75">
      <c r="A376" s="10"/>
      <c r="B376" s="11"/>
      <c r="C376" s="4"/>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Y376" s="4"/>
      <c r="Z376" s="4"/>
      <c r="AA376" s="4"/>
      <c r="AB376" s="4"/>
      <c r="AC376" s="16"/>
    </row>
    <row r="377" spans="1:29" ht="12.75">
      <c r="A377" s="10"/>
      <c r="B377" s="11"/>
      <c r="C377" s="4"/>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Y377" s="4"/>
      <c r="Z377" s="4"/>
      <c r="AA377" s="4"/>
      <c r="AB377" s="4"/>
      <c r="AC377" s="16"/>
    </row>
    <row r="378" spans="1:29" ht="12.75">
      <c r="A378" s="10"/>
      <c r="B378" s="11"/>
      <c r="C378" s="4"/>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Y378" s="4"/>
      <c r="Z378" s="4"/>
      <c r="AA378" s="4"/>
      <c r="AB378" s="4"/>
      <c r="AC378" s="16"/>
    </row>
    <row r="379" spans="1:29" ht="12.75">
      <c r="A379" s="10"/>
      <c r="B379" s="11"/>
      <c r="C379" s="4"/>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Y379" s="4"/>
      <c r="Z379" s="4"/>
      <c r="AA379" s="4"/>
      <c r="AB379" s="4"/>
      <c r="AC379" s="16"/>
    </row>
    <row r="380" spans="1:29" ht="12.75">
      <c r="A380" s="10"/>
      <c r="B380" s="11"/>
      <c r="C380" s="4"/>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Y380" s="4"/>
      <c r="Z380" s="4"/>
      <c r="AA380" s="4"/>
      <c r="AB380" s="4"/>
      <c r="AC380" s="16"/>
    </row>
    <row r="381" spans="1:29" ht="12.75">
      <c r="A381" s="10"/>
      <c r="B381" s="11"/>
      <c r="C381" s="4"/>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Y381" s="4"/>
      <c r="Z381" s="4"/>
      <c r="AA381" s="4"/>
      <c r="AB381" s="4"/>
      <c r="AC381" s="16"/>
    </row>
    <row r="382" spans="1:29" ht="12.75">
      <c r="A382" s="10"/>
      <c r="B382" s="11"/>
      <c r="C382" s="4"/>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Y382" s="4"/>
      <c r="Z382" s="4"/>
      <c r="AA382" s="4"/>
      <c r="AB382" s="4"/>
      <c r="AC382" s="16"/>
    </row>
    <row r="383" spans="1:29" ht="12.75">
      <c r="A383" s="10"/>
      <c r="B383" s="11"/>
      <c r="C383" s="4"/>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Y383" s="4"/>
      <c r="Z383" s="4"/>
      <c r="AA383" s="4"/>
      <c r="AB383" s="4"/>
      <c r="AC383" s="16"/>
    </row>
    <row r="384" spans="1:29" ht="12.75">
      <c r="A384" s="10"/>
      <c r="B384" s="11"/>
      <c r="C384" s="4"/>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Y384" s="4"/>
      <c r="Z384" s="4"/>
      <c r="AA384" s="4"/>
      <c r="AB384" s="4"/>
      <c r="AC384" s="16"/>
    </row>
    <row r="385" spans="1:29" ht="12.75">
      <c r="A385" s="10"/>
      <c r="B385" s="11"/>
      <c r="C385" s="4"/>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Y385" s="4"/>
      <c r="Z385" s="4"/>
      <c r="AA385" s="4"/>
      <c r="AB385" s="4"/>
      <c r="AC385" s="16"/>
    </row>
    <row r="386" spans="1:29" ht="12.75">
      <c r="A386" s="10"/>
      <c r="B386" s="11"/>
      <c r="C386" s="4"/>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Y386" s="4"/>
      <c r="Z386" s="4"/>
      <c r="AA386" s="4"/>
      <c r="AB386" s="4"/>
      <c r="AC386" s="16"/>
    </row>
    <row r="387" spans="1:29" ht="12.75">
      <c r="A387" s="10"/>
      <c r="B387" s="11"/>
      <c r="C387" s="4"/>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Y387" s="4"/>
      <c r="Z387" s="4"/>
      <c r="AA387" s="4"/>
      <c r="AB387" s="4"/>
      <c r="AC387" s="16"/>
    </row>
    <row r="388" spans="1:29" ht="12.75">
      <c r="A388" s="10"/>
      <c r="B388" s="11"/>
      <c r="C388" s="4"/>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Y388" s="4"/>
      <c r="Z388" s="4"/>
      <c r="AA388" s="4"/>
      <c r="AB388" s="4"/>
      <c r="AC388" s="16"/>
    </row>
    <row r="389" spans="1:29" ht="12.75">
      <c r="A389" s="10"/>
      <c r="B389" s="11"/>
      <c r="C389" s="4"/>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Y389" s="4"/>
      <c r="Z389" s="4"/>
      <c r="AA389" s="4"/>
      <c r="AB389" s="4"/>
      <c r="AC389" s="16"/>
    </row>
    <row r="390" spans="1:29" ht="12.75">
      <c r="A390" s="10"/>
      <c r="B390" s="11"/>
      <c r="C390" s="4"/>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Y390" s="4"/>
      <c r="Z390" s="4"/>
      <c r="AA390" s="4"/>
      <c r="AB390" s="4"/>
      <c r="AC390" s="16"/>
    </row>
    <row r="391" spans="1:29" ht="12.75">
      <c r="A391" s="10"/>
      <c r="B391" s="11"/>
      <c r="C391" s="4"/>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Y391" s="4"/>
      <c r="Z391" s="4"/>
      <c r="AA391" s="4"/>
      <c r="AB391" s="4"/>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objects="1" scenarios="1"/>
  <conditionalFormatting sqref="F2:G392">
    <cfRule type="cellIs" priority="1" dxfId="3"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58" t="s">
        <v>97</v>
      </c>
      <c r="B1" s="258"/>
      <c r="C1" s="29" t="s">
        <v>98</v>
      </c>
      <c r="D1" s="30" t="s">
        <v>99</v>
      </c>
      <c r="E1" s="30" t="s">
        <v>93</v>
      </c>
      <c r="F1" s="31" t="s">
        <v>100</v>
      </c>
      <c r="G1" s="30" t="s">
        <v>101</v>
      </c>
      <c r="H1" s="31" t="s">
        <v>102</v>
      </c>
      <c r="I1" s="30" t="s">
        <v>104</v>
      </c>
      <c r="J1" s="32"/>
      <c r="O1" s="72">
        <f>SUM(N9:N108)</f>
        <v>0</v>
      </c>
    </row>
    <row r="2" spans="1:10" s="72" customFormat="1" ht="19.5" customHeight="1">
      <c r="A2" s="258"/>
      <c r="B2" s="258"/>
      <c r="C2" s="33" t="s">
        <v>105</v>
      </c>
      <c r="D2" s="34" t="s">
        <v>106</v>
      </c>
      <c r="E2" s="34" t="s">
        <v>107</v>
      </c>
      <c r="F2" s="34" t="s">
        <v>108</v>
      </c>
      <c r="G2" s="34" t="s">
        <v>109</v>
      </c>
      <c r="H2" s="34" t="s">
        <v>110</v>
      </c>
      <c r="I2" s="35" t="s">
        <v>111</v>
      </c>
      <c r="J2" s="36"/>
    </row>
    <row r="3" spans="1:11" s="72" customFormat="1" ht="60.75" customHeight="1">
      <c r="A3" s="383" t="s">
        <v>2011</v>
      </c>
      <c r="B3" s="383"/>
      <c r="C3" s="383"/>
      <c r="D3" s="383"/>
      <c r="E3" s="383"/>
      <c r="F3" s="383"/>
      <c r="G3" s="383"/>
      <c r="H3" s="383"/>
      <c r="I3" s="383"/>
      <c r="J3" s="383"/>
      <c r="K3" s="383"/>
    </row>
    <row r="4" spans="1:11" s="72" customFormat="1" ht="19.5" customHeight="1">
      <c r="A4" s="384" t="s">
        <v>2012</v>
      </c>
      <c r="B4" s="384"/>
      <c r="C4" s="384"/>
      <c r="D4" s="384"/>
      <c r="E4" s="384"/>
      <c r="F4" s="384"/>
      <c r="G4" s="384"/>
      <c r="H4" s="384"/>
      <c r="I4" s="384"/>
      <c r="J4" s="384"/>
      <c r="K4" s="384"/>
    </row>
    <row r="5" spans="1:11" s="72" customFormat="1" ht="19.5" customHeight="1">
      <c r="A5" s="385" t="str">
        <f>"za razdoblje "&amp;IF(Opci!E5&lt;&gt;"",TEXT(Opci!E5,"DD.MM.YYYY."),"__.__.____.")&amp;" do "&amp;IF(Opci!H5&lt;&gt;"",TEXT(Opci!H5,"DD.MM.YYYY."),"__.__.____.")</f>
        <v>za razdoblje 01.01.2014. do 31.12.2014.</v>
      </c>
      <c r="B5" s="385"/>
      <c r="C5" s="385"/>
      <c r="D5" s="385"/>
      <c r="E5" s="385"/>
      <c r="F5" s="385"/>
      <c r="G5" s="385"/>
      <c r="H5" s="385"/>
      <c r="I5" s="385"/>
      <c r="J5" s="385"/>
      <c r="K5" s="385"/>
    </row>
    <row r="6" spans="1:11" s="72" customFormat="1" ht="19.5" customHeight="1">
      <c r="A6" s="386" t="str">
        <f>"Obveznik: "&amp;IF(Opci!C19&lt;&gt;"",Opci!C19,"________")&amp;"; "&amp;IF(Opci!C25&lt;&gt;"",Opci!C25,"_____________________________________________________________"&amp;"; "&amp;IF(Opci!F27&lt;&gt;"",Opci!F27,"_______________"))</f>
        <v>Obveznik: 03200426; STAMBENO KOMUNALNO GOSPODARSTVO D.O.O.</v>
      </c>
      <c r="B6" s="386"/>
      <c r="C6" s="386"/>
      <c r="D6" s="386"/>
      <c r="E6" s="386"/>
      <c r="F6" s="386"/>
      <c r="G6" s="386"/>
      <c r="H6" s="386"/>
      <c r="I6" s="386"/>
      <c r="J6" s="386"/>
      <c r="K6" s="386"/>
    </row>
    <row r="7" spans="1:11" s="72" customFormat="1" ht="15" customHeight="1">
      <c r="A7" s="387" t="s">
        <v>2013</v>
      </c>
      <c r="B7" s="388" t="s">
        <v>2014</v>
      </c>
      <c r="C7" s="388"/>
      <c r="D7" s="389" t="s">
        <v>2015</v>
      </c>
      <c r="E7" s="389"/>
      <c r="F7" s="389"/>
      <c r="G7" s="389"/>
      <c r="H7" s="389"/>
      <c r="I7" s="390" t="s">
        <v>282</v>
      </c>
      <c r="J7" s="390"/>
      <c r="K7" s="187" t="s">
        <v>2016</v>
      </c>
    </row>
    <row r="8" spans="1:11" s="72" customFormat="1" ht="13.5" customHeight="1">
      <c r="A8" s="387"/>
      <c r="B8" s="391">
        <v>1</v>
      </c>
      <c r="C8" s="391"/>
      <c r="D8" s="391">
        <v>2</v>
      </c>
      <c r="E8" s="391"/>
      <c r="F8" s="391"/>
      <c r="G8" s="391"/>
      <c r="H8" s="391"/>
      <c r="I8" s="391">
        <v>3</v>
      </c>
      <c r="J8" s="391"/>
      <c r="K8" s="188">
        <v>4</v>
      </c>
    </row>
    <row r="9" spans="1:11" ht="13.5" customHeight="1">
      <c r="A9" s="189" t="s">
        <v>121</v>
      </c>
      <c r="B9" s="392"/>
      <c r="C9" s="392"/>
      <c r="D9" s="393"/>
      <c r="E9" s="393"/>
      <c r="F9" s="393"/>
      <c r="G9" s="393"/>
      <c r="H9" s="393"/>
      <c r="I9" s="393"/>
      <c r="J9" s="393"/>
      <c r="K9" s="190"/>
    </row>
    <row r="10" spans="1:11" ht="13.5" customHeight="1">
      <c r="A10" s="191" t="s">
        <v>123</v>
      </c>
      <c r="B10" s="394"/>
      <c r="C10" s="394"/>
      <c r="D10" s="395"/>
      <c r="E10" s="395"/>
      <c r="F10" s="395"/>
      <c r="G10" s="395"/>
      <c r="H10" s="395"/>
      <c r="I10" s="395"/>
      <c r="J10" s="395"/>
      <c r="K10" s="192"/>
    </row>
    <row r="11" spans="1:11" ht="13.5" customHeight="1">
      <c r="A11" s="191" t="s">
        <v>125</v>
      </c>
      <c r="B11" s="394"/>
      <c r="C11" s="394"/>
      <c r="D11" s="395"/>
      <c r="E11" s="395"/>
      <c r="F11" s="395"/>
      <c r="G11" s="395"/>
      <c r="H11" s="395"/>
      <c r="I11" s="395"/>
      <c r="J11" s="395"/>
      <c r="K11" s="192"/>
    </row>
    <row r="12" spans="1:11" ht="13.5" customHeight="1">
      <c r="A12" s="191" t="s">
        <v>2017</v>
      </c>
      <c r="B12" s="394"/>
      <c r="C12" s="394"/>
      <c r="D12" s="395"/>
      <c r="E12" s="395"/>
      <c r="F12" s="395"/>
      <c r="G12" s="395"/>
      <c r="H12" s="395"/>
      <c r="I12" s="395"/>
      <c r="J12" s="395"/>
      <c r="K12" s="192"/>
    </row>
    <row r="13" spans="1:11" ht="13.5" customHeight="1">
      <c r="A13" s="191" t="s">
        <v>2018</v>
      </c>
      <c r="B13" s="394"/>
      <c r="C13" s="394"/>
      <c r="D13" s="395"/>
      <c r="E13" s="395"/>
      <c r="F13" s="395"/>
      <c r="G13" s="395"/>
      <c r="H13" s="395"/>
      <c r="I13" s="395"/>
      <c r="J13" s="395"/>
      <c r="K13" s="192"/>
    </row>
    <row r="14" spans="1:11" ht="13.5" customHeight="1">
      <c r="A14" s="191" t="s">
        <v>2019</v>
      </c>
      <c r="B14" s="394"/>
      <c r="C14" s="394"/>
      <c r="D14" s="395"/>
      <c r="E14" s="395"/>
      <c r="F14" s="395"/>
      <c r="G14" s="395"/>
      <c r="H14" s="395"/>
      <c r="I14" s="395"/>
      <c r="J14" s="395"/>
      <c r="K14" s="192"/>
    </row>
    <row r="15" spans="1:11" ht="13.5" customHeight="1">
      <c r="A15" s="191" t="s">
        <v>2020</v>
      </c>
      <c r="B15" s="394"/>
      <c r="C15" s="394"/>
      <c r="D15" s="395"/>
      <c r="E15" s="395"/>
      <c r="F15" s="395"/>
      <c r="G15" s="395"/>
      <c r="H15" s="395"/>
      <c r="I15" s="395"/>
      <c r="J15" s="395"/>
      <c r="K15" s="192"/>
    </row>
    <row r="16" spans="1:11" ht="13.5" customHeight="1">
      <c r="A16" s="191" t="s">
        <v>2021</v>
      </c>
      <c r="B16" s="394"/>
      <c r="C16" s="394"/>
      <c r="D16" s="395"/>
      <c r="E16" s="395"/>
      <c r="F16" s="395"/>
      <c r="G16" s="395"/>
      <c r="H16" s="395"/>
      <c r="I16" s="395"/>
      <c r="J16" s="395"/>
      <c r="K16" s="192"/>
    </row>
    <row r="17" spans="1:11" ht="13.5" customHeight="1">
      <c r="A17" s="191" t="s">
        <v>2022</v>
      </c>
      <c r="B17" s="394"/>
      <c r="C17" s="394"/>
      <c r="D17" s="395"/>
      <c r="E17" s="395"/>
      <c r="F17" s="395"/>
      <c r="G17" s="395"/>
      <c r="H17" s="395"/>
      <c r="I17" s="395"/>
      <c r="J17" s="395"/>
      <c r="K17" s="192"/>
    </row>
    <row r="18" spans="1:11" ht="13.5" customHeight="1">
      <c r="A18" s="191" t="s">
        <v>2023</v>
      </c>
      <c r="B18" s="394"/>
      <c r="C18" s="394"/>
      <c r="D18" s="395"/>
      <c r="E18" s="395"/>
      <c r="F18" s="395"/>
      <c r="G18" s="395"/>
      <c r="H18" s="395"/>
      <c r="I18" s="395"/>
      <c r="J18" s="395"/>
      <c r="K18" s="192"/>
    </row>
    <row r="19" spans="1:11" ht="13.5" customHeight="1">
      <c r="A19" s="191" t="s">
        <v>2024</v>
      </c>
      <c r="B19" s="394"/>
      <c r="C19" s="394"/>
      <c r="D19" s="395"/>
      <c r="E19" s="395"/>
      <c r="F19" s="395"/>
      <c r="G19" s="395"/>
      <c r="H19" s="395"/>
      <c r="I19" s="395"/>
      <c r="J19" s="395"/>
      <c r="K19" s="192"/>
    </row>
    <row r="20" spans="1:11" ht="13.5" customHeight="1">
      <c r="A20" s="191" t="s">
        <v>2025</v>
      </c>
      <c r="B20" s="394"/>
      <c r="C20" s="394"/>
      <c r="D20" s="395"/>
      <c r="E20" s="395"/>
      <c r="F20" s="395"/>
      <c r="G20" s="395"/>
      <c r="H20" s="395"/>
      <c r="I20" s="395"/>
      <c r="J20" s="395"/>
      <c r="K20" s="192"/>
    </row>
    <row r="21" spans="1:11" ht="13.5" customHeight="1">
      <c r="A21" s="191" t="s">
        <v>2026</v>
      </c>
      <c r="B21" s="394"/>
      <c r="C21" s="394"/>
      <c r="D21" s="395"/>
      <c r="E21" s="395"/>
      <c r="F21" s="395"/>
      <c r="G21" s="395"/>
      <c r="H21" s="395"/>
      <c r="I21" s="395"/>
      <c r="J21" s="395"/>
      <c r="K21" s="192"/>
    </row>
    <row r="22" spans="1:11" ht="13.5" customHeight="1">
      <c r="A22" s="191" t="s">
        <v>2027</v>
      </c>
      <c r="B22" s="394"/>
      <c r="C22" s="394"/>
      <c r="D22" s="395"/>
      <c r="E22" s="395"/>
      <c r="F22" s="395"/>
      <c r="G22" s="395"/>
      <c r="H22" s="395"/>
      <c r="I22" s="395"/>
      <c r="J22" s="395"/>
      <c r="K22" s="192"/>
    </row>
    <row r="23" spans="1:11" ht="13.5" customHeight="1">
      <c r="A23" s="191" t="s">
        <v>2028</v>
      </c>
      <c r="B23" s="394"/>
      <c r="C23" s="394"/>
      <c r="D23" s="395"/>
      <c r="E23" s="395"/>
      <c r="F23" s="395"/>
      <c r="G23" s="395"/>
      <c r="H23" s="395"/>
      <c r="I23" s="395"/>
      <c r="J23" s="395"/>
      <c r="K23" s="192"/>
    </row>
    <row r="24" spans="1:11" ht="13.5" customHeight="1">
      <c r="A24" s="191" t="s">
        <v>2029</v>
      </c>
      <c r="B24" s="394"/>
      <c r="C24" s="394"/>
      <c r="D24" s="395"/>
      <c r="E24" s="395"/>
      <c r="F24" s="395"/>
      <c r="G24" s="395"/>
      <c r="H24" s="395"/>
      <c r="I24" s="395"/>
      <c r="J24" s="395"/>
      <c r="K24" s="192"/>
    </row>
    <row r="25" spans="1:11" ht="13.5" customHeight="1">
      <c r="A25" s="191" t="s">
        <v>2030</v>
      </c>
      <c r="B25" s="394"/>
      <c r="C25" s="394"/>
      <c r="D25" s="395"/>
      <c r="E25" s="395"/>
      <c r="F25" s="395"/>
      <c r="G25" s="395"/>
      <c r="H25" s="395"/>
      <c r="I25" s="395"/>
      <c r="J25" s="395"/>
      <c r="K25" s="192"/>
    </row>
    <row r="26" spans="1:11" ht="13.5" customHeight="1">
      <c r="A26" s="191" t="s">
        <v>2031</v>
      </c>
      <c r="B26" s="394"/>
      <c r="C26" s="394"/>
      <c r="D26" s="395"/>
      <c r="E26" s="395"/>
      <c r="F26" s="395"/>
      <c r="G26" s="395"/>
      <c r="H26" s="395"/>
      <c r="I26" s="395"/>
      <c r="J26" s="395"/>
      <c r="K26" s="192"/>
    </row>
    <row r="27" spans="1:11" ht="13.5" customHeight="1">
      <c r="A27" s="191" t="s">
        <v>2032</v>
      </c>
      <c r="B27" s="394"/>
      <c r="C27" s="394"/>
      <c r="D27" s="395"/>
      <c r="E27" s="395"/>
      <c r="F27" s="395"/>
      <c r="G27" s="395"/>
      <c r="H27" s="395"/>
      <c r="I27" s="395"/>
      <c r="J27" s="395"/>
      <c r="K27" s="192"/>
    </row>
    <row r="28" spans="1:11" ht="13.5" customHeight="1">
      <c r="A28" s="191" t="s">
        <v>2033</v>
      </c>
      <c r="B28" s="394"/>
      <c r="C28" s="394"/>
      <c r="D28" s="395"/>
      <c r="E28" s="395"/>
      <c r="F28" s="395"/>
      <c r="G28" s="395"/>
      <c r="H28" s="395"/>
      <c r="I28" s="395"/>
      <c r="J28" s="395"/>
      <c r="K28" s="192"/>
    </row>
    <row r="29" spans="1:11" ht="13.5" customHeight="1">
      <c r="A29" s="191" t="s">
        <v>2034</v>
      </c>
      <c r="B29" s="394"/>
      <c r="C29" s="394"/>
      <c r="D29" s="395"/>
      <c r="E29" s="395"/>
      <c r="F29" s="395"/>
      <c r="G29" s="395"/>
      <c r="H29" s="395"/>
      <c r="I29" s="395"/>
      <c r="J29" s="395"/>
      <c r="K29" s="192"/>
    </row>
    <row r="30" spans="1:11" ht="13.5" customHeight="1">
      <c r="A30" s="191" t="s">
        <v>2035</v>
      </c>
      <c r="B30" s="394"/>
      <c r="C30" s="394"/>
      <c r="D30" s="395"/>
      <c r="E30" s="395"/>
      <c r="F30" s="395"/>
      <c r="G30" s="395"/>
      <c r="H30" s="395"/>
      <c r="I30" s="395"/>
      <c r="J30" s="395"/>
      <c r="K30" s="192"/>
    </row>
    <row r="31" spans="1:11" ht="13.5" customHeight="1">
      <c r="A31" s="191" t="s">
        <v>2036</v>
      </c>
      <c r="B31" s="394"/>
      <c r="C31" s="394"/>
      <c r="D31" s="395"/>
      <c r="E31" s="395"/>
      <c r="F31" s="395"/>
      <c r="G31" s="395"/>
      <c r="H31" s="395"/>
      <c r="I31" s="395"/>
      <c r="J31" s="395"/>
      <c r="K31" s="192"/>
    </row>
    <row r="32" spans="1:11" ht="13.5" customHeight="1">
      <c r="A32" s="191" t="s">
        <v>2037</v>
      </c>
      <c r="B32" s="394"/>
      <c r="C32" s="394"/>
      <c r="D32" s="395"/>
      <c r="E32" s="395"/>
      <c r="F32" s="395"/>
      <c r="G32" s="395"/>
      <c r="H32" s="395"/>
      <c r="I32" s="395"/>
      <c r="J32" s="395"/>
      <c r="K32" s="192"/>
    </row>
    <row r="33" spans="1:11" ht="13.5" customHeight="1">
      <c r="A33" s="191" t="s">
        <v>2038</v>
      </c>
      <c r="B33" s="394"/>
      <c r="C33" s="394"/>
      <c r="D33" s="395"/>
      <c r="E33" s="395"/>
      <c r="F33" s="395"/>
      <c r="G33" s="395"/>
      <c r="H33" s="395"/>
      <c r="I33" s="395"/>
      <c r="J33" s="395"/>
      <c r="K33" s="192"/>
    </row>
    <row r="34" spans="1:11" ht="13.5" customHeight="1">
      <c r="A34" s="191" t="s">
        <v>2039</v>
      </c>
      <c r="B34" s="394"/>
      <c r="C34" s="394"/>
      <c r="D34" s="395"/>
      <c r="E34" s="395"/>
      <c r="F34" s="395"/>
      <c r="G34" s="395"/>
      <c r="H34" s="395"/>
      <c r="I34" s="395"/>
      <c r="J34" s="395"/>
      <c r="K34" s="192"/>
    </row>
    <row r="35" spans="1:11" ht="13.5" customHeight="1">
      <c r="A35" s="191" t="s">
        <v>2040</v>
      </c>
      <c r="B35" s="394"/>
      <c r="C35" s="394"/>
      <c r="D35" s="395"/>
      <c r="E35" s="395"/>
      <c r="F35" s="395"/>
      <c r="G35" s="395"/>
      <c r="H35" s="395"/>
      <c r="I35" s="395"/>
      <c r="J35" s="395"/>
      <c r="K35" s="192"/>
    </row>
    <row r="36" spans="1:11" ht="13.5" customHeight="1">
      <c r="A36" s="191" t="s">
        <v>2041</v>
      </c>
      <c r="B36" s="394"/>
      <c r="C36" s="394"/>
      <c r="D36" s="395"/>
      <c r="E36" s="395"/>
      <c r="F36" s="395"/>
      <c r="G36" s="395"/>
      <c r="H36" s="395"/>
      <c r="I36" s="395"/>
      <c r="J36" s="395"/>
      <c r="K36" s="192"/>
    </row>
    <row r="37" spans="1:11" ht="13.5" customHeight="1">
      <c r="A37" s="191" t="s">
        <v>2042</v>
      </c>
      <c r="B37" s="394"/>
      <c r="C37" s="394"/>
      <c r="D37" s="395"/>
      <c r="E37" s="395"/>
      <c r="F37" s="395"/>
      <c r="G37" s="395"/>
      <c r="H37" s="395"/>
      <c r="I37" s="395"/>
      <c r="J37" s="395"/>
      <c r="K37" s="192"/>
    </row>
    <row r="38" spans="1:11" ht="13.5" customHeight="1">
      <c r="A38" s="191" t="s">
        <v>2043</v>
      </c>
      <c r="B38" s="394"/>
      <c r="C38" s="394"/>
      <c r="D38" s="395"/>
      <c r="E38" s="395"/>
      <c r="F38" s="395"/>
      <c r="G38" s="395"/>
      <c r="H38" s="395"/>
      <c r="I38" s="395"/>
      <c r="J38" s="395"/>
      <c r="K38" s="192"/>
    </row>
    <row r="39" spans="1:11" ht="13.5" customHeight="1">
      <c r="A39" s="191" t="s">
        <v>2044</v>
      </c>
      <c r="B39" s="394"/>
      <c r="C39" s="394"/>
      <c r="D39" s="395"/>
      <c r="E39" s="395"/>
      <c r="F39" s="395"/>
      <c r="G39" s="395"/>
      <c r="H39" s="395"/>
      <c r="I39" s="395"/>
      <c r="J39" s="395"/>
      <c r="K39" s="192"/>
    </row>
    <row r="40" spans="1:11" ht="13.5" customHeight="1">
      <c r="A40" s="191" t="s">
        <v>2045</v>
      </c>
      <c r="B40" s="394"/>
      <c r="C40" s="394"/>
      <c r="D40" s="395"/>
      <c r="E40" s="395"/>
      <c r="F40" s="395"/>
      <c r="G40" s="395"/>
      <c r="H40" s="395"/>
      <c r="I40" s="395"/>
      <c r="J40" s="395"/>
      <c r="K40" s="192"/>
    </row>
    <row r="41" spans="1:11" ht="13.5" customHeight="1">
      <c r="A41" s="191" t="s">
        <v>2046</v>
      </c>
      <c r="B41" s="394"/>
      <c r="C41" s="394"/>
      <c r="D41" s="395"/>
      <c r="E41" s="395"/>
      <c r="F41" s="395"/>
      <c r="G41" s="395"/>
      <c r="H41" s="395"/>
      <c r="I41" s="395"/>
      <c r="J41" s="395"/>
      <c r="K41" s="192"/>
    </row>
    <row r="42" spans="1:11" ht="13.5" customHeight="1">
      <c r="A42" s="191" t="s">
        <v>2047</v>
      </c>
      <c r="B42" s="394"/>
      <c r="C42" s="394"/>
      <c r="D42" s="395"/>
      <c r="E42" s="395"/>
      <c r="F42" s="395"/>
      <c r="G42" s="395"/>
      <c r="H42" s="395"/>
      <c r="I42" s="395"/>
      <c r="J42" s="395"/>
      <c r="K42" s="192"/>
    </row>
    <row r="43" spans="1:11" ht="13.5" customHeight="1">
      <c r="A43" s="191" t="s">
        <v>2048</v>
      </c>
      <c r="B43" s="394"/>
      <c r="C43" s="394"/>
      <c r="D43" s="395"/>
      <c r="E43" s="395"/>
      <c r="F43" s="395"/>
      <c r="G43" s="395"/>
      <c r="H43" s="395"/>
      <c r="I43" s="395"/>
      <c r="J43" s="395"/>
      <c r="K43" s="192"/>
    </row>
    <row r="44" spans="1:11" ht="13.5" customHeight="1">
      <c r="A44" s="191" t="s">
        <v>2049</v>
      </c>
      <c r="B44" s="394"/>
      <c r="C44" s="394"/>
      <c r="D44" s="395"/>
      <c r="E44" s="395"/>
      <c r="F44" s="395"/>
      <c r="G44" s="395"/>
      <c r="H44" s="395"/>
      <c r="I44" s="395"/>
      <c r="J44" s="395"/>
      <c r="K44" s="192"/>
    </row>
    <row r="45" spans="1:11" ht="13.5" customHeight="1">
      <c r="A45" s="191" t="s">
        <v>2050</v>
      </c>
      <c r="B45" s="394"/>
      <c r="C45" s="394"/>
      <c r="D45" s="395"/>
      <c r="E45" s="395"/>
      <c r="F45" s="395"/>
      <c r="G45" s="395"/>
      <c r="H45" s="395"/>
      <c r="I45" s="395"/>
      <c r="J45" s="395"/>
      <c r="K45" s="192"/>
    </row>
    <row r="46" spans="1:11" ht="13.5" customHeight="1">
      <c r="A46" s="191" t="s">
        <v>2051</v>
      </c>
      <c r="B46" s="394"/>
      <c r="C46" s="394"/>
      <c r="D46" s="395"/>
      <c r="E46" s="395"/>
      <c r="F46" s="395"/>
      <c r="G46" s="395"/>
      <c r="H46" s="395"/>
      <c r="I46" s="395"/>
      <c r="J46" s="395"/>
      <c r="K46" s="192"/>
    </row>
    <row r="47" spans="1:11" ht="13.5" customHeight="1">
      <c r="A47" s="191" t="s">
        <v>2052</v>
      </c>
      <c r="B47" s="394"/>
      <c r="C47" s="394"/>
      <c r="D47" s="395"/>
      <c r="E47" s="395"/>
      <c r="F47" s="395"/>
      <c r="G47" s="395"/>
      <c r="H47" s="395"/>
      <c r="I47" s="395"/>
      <c r="J47" s="395"/>
      <c r="K47" s="192"/>
    </row>
    <row r="48" spans="1:11" ht="13.5" customHeight="1">
      <c r="A48" s="191" t="s">
        <v>2053</v>
      </c>
      <c r="B48" s="394"/>
      <c r="C48" s="394"/>
      <c r="D48" s="395"/>
      <c r="E48" s="395"/>
      <c r="F48" s="395"/>
      <c r="G48" s="395"/>
      <c r="H48" s="395"/>
      <c r="I48" s="395"/>
      <c r="J48" s="395"/>
      <c r="K48" s="192"/>
    </row>
    <row r="49" spans="1:11" ht="13.5" customHeight="1">
      <c r="A49" s="191" t="s">
        <v>2054</v>
      </c>
      <c r="B49" s="394"/>
      <c r="C49" s="394"/>
      <c r="D49" s="395"/>
      <c r="E49" s="395"/>
      <c r="F49" s="395"/>
      <c r="G49" s="395"/>
      <c r="H49" s="395"/>
      <c r="I49" s="395"/>
      <c r="J49" s="395"/>
      <c r="K49" s="192"/>
    </row>
    <row r="50" spans="1:11" ht="13.5" customHeight="1">
      <c r="A50" s="191" t="s">
        <v>2055</v>
      </c>
      <c r="B50" s="394"/>
      <c r="C50" s="394"/>
      <c r="D50" s="395"/>
      <c r="E50" s="395"/>
      <c r="F50" s="395"/>
      <c r="G50" s="395"/>
      <c r="H50" s="395"/>
      <c r="I50" s="395"/>
      <c r="J50" s="395"/>
      <c r="K50" s="192"/>
    </row>
    <row r="51" spans="1:11" ht="13.5" customHeight="1">
      <c r="A51" s="191" t="s">
        <v>2056</v>
      </c>
      <c r="B51" s="394"/>
      <c r="C51" s="394"/>
      <c r="D51" s="395"/>
      <c r="E51" s="395"/>
      <c r="F51" s="395"/>
      <c r="G51" s="395"/>
      <c r="H51" s="395"/>
      <c r="I51" s="395"/>
      <c r="J51" s="395"/>
      <c r="K51" s="192"/>
    </row>
    <row r="52" spans="1:11" ht="13.5" customHeight="1">
      <c r="A52" s="191" t="s">
        <v>2057</v>
      </c>
      <c r="B52" s="394"/>
      <c r="C52" s="394"/>
      <c r="D52" s="395"/>
      <c r="E52" s="395"/>
      <c r="F52" s="395"/>
      <c r="G52" s="395"/>
      <c r="H52" s="395"/>
      <c r="I52" s="395"/>
      <c r="J52" s="395"/>
      <c r="K52" s="192"/>
    </row>
    <row r="53" spans="1:11" ht="13.5" customHeight="1">
      <c r="A53" s="191" t="s">
        <v>2058</v>
      </c>
      <c r="B53" s="394"/>
      <c r="C53" s="394"/>
      <c r="D53" s="395"/>
      <c r="E53" s="395"/>
      <c r="F53" s="395"/>
      <c r="G53" s="395"/>
      <c r="H53" s="395"/>
      <c r="I53" s="395"/>
      <c r="J53" s="395"/>
      <c r="K53" s="192"/>
    </row>
    <row r="54" spans="1:11" ht="13.5" customHeight="1">
      <c r="A54" s="191" t="s">
        <v>2059</v>
      </c>
      <c r="B54" s="394"/>
      <c r="C54" s="394"/>
      <c r="D54" s="395"/>
      <c r="E54" s="395"/>
      <c r="F54" s="395"/>
      <c r="G54" s="395"/>
      <c r="H54" s="395"/>
      <c r="I54" s="395"/>
      <c r="J54" s="395"/>
      <c r="K54" s="192"/>
    </row>
    <row r="55" spans="1:11" ht="13.5" customHeight="1">
      <c r="A55" s="191" t="s">
        <v>2060</v>
      </c>
      <c r="B55" s="394"/>
      <c r="C55" s="394"/>
      <c r="D55" s="395"/>
      <c r="E55" s="395"/>
      <c r="F55" s="395"/>
      <c r="G55" s="395"/>
      <c r="H55" s="395"/>
      <c r="I55" s="395"/>
      <c r="J55" s="395"/>
      <c r="K55" s="192"/>
    </row>
    <row r="56" spans="1:11" ht="13.5" customHeight="1">
      <c r="A56" s="191" t="s">
        <v>2061</v>
      </c>
      <c r="B56" s="394"/>
      <c r="C56" s="394"/>
      <c r="D56" s="395"/>
      <c r="E56" s="395"/>
      <c r="F56" s="395"/>
      <c r="G56" s="395"/>
      <c r="H56" s="395"/>
      <c r="I56" s="395"/>
      <c r="J56" s="395"/>
      <c r="K56" s="192"/>
    </row>
    <row r="57" spans="1:11" ht="13.5" customHeight="1">
      <c r="A57" s="191" t="s">
        <v>2062</v>
      </c>
      <c r="B57" s="394"/>
      <c r="C57" s="394"/>
      <c r="D57" s="395"/>
      <c r="E57" s="395"/>
      <c r="F57" s="395"/>
      <c r="G57" s="395"/>
      <c r="H57" s="395"/>
      <c r="I57" s="395"/>
      <c r="J57" s="395"/>
      <c r="K57" s="192"/>
    </row>
    <row r="58" spans="1:11" ht="13.5" customHeight="1">
      <c r="A58" s="191" t="s">
        <v>2063</v>
      </c>
      <c r="B58" s="394"/>
      <c r="C58" s="394"/>
      <c r="D58" s="395"/>
      <c r="E58" s="395"/>
      <c r="F58" s="395"/>
      <c r="G58" s="395"/>
      <c r="H58" s="395"/>
      <c r="I58" s="395"/>
      <c r="J58" s="395"/>
      <c r="K58" s="192"/>
    </row>
    <row r="59" spans="1:11" ht="13.5" customHeight="1">
      <c r="A59" s="191" t="s">
        <v>2064</v>
      </c>
      <c r="B59" s="394"/>
      <c r="C59" s="394"/>
      <c r="D59" s="395"/>
      <c r="E59" s="395"/>
      <c r="F59" s="395"/>
      <c r="G59" s="395"/>
      <c r="H59" s="395"/>
      <c r="I59" s="395"/>
      <c r="J59" s="395"/>
      <c r="K59" s="192"/>
    </row>
    <row r="60" spans="1:11" ht="13.5" customHeight="1">
      <c r="A60" s="191" t="s">
        <v>2065</v>
      </c>
      <c r="B60" s="394"/>
      <c r="C60" s="394"/>
      <c r="D60" s="395"/>
      <c r="E60" s="395"/>
      <c r="F60" s="395"/>
      <c r="G60" s="395"/>
      <c r="H60" s="395"/>
      <c r="I60" s="395"/>
      <c r="J60" s="395"/>
      <c r="K60" s="192"/>
    </row>
    <row r="61" spans="1:11" ht="13.5" customHeight="1">
      <c r="A61" s="191" t="s">
        <v>2066</v>
      </c>
      <c r="B61" s="394"/>
      <c r="C61" s="394"/>
      <c r="D61" s="395"/>
      <c r="E61" s="395"/>
      <c r="F61" s="395"/>
      <c r="G61" s="395"/>
      <c r="H61" s="395"/>
      <c r="I61" s="395"/>
      <c r="J61" s="395"/>
      <c r="K61" s="192"/>
    </row>
    <row r="62" spans="1:11" ht="13.5" customHeight="1">
      <c r="A62" s="191" t="s">
        <v>2067</v>
      </c>
      <c r="B62" s="394"/>
      <c r="C62" s="394"/>
      <c r="D62" s="395"/>
      <c r="E62" s="395"/>
      <c r="F62" s="395"/>
      <c r="G62" s="395"/>
      <c r="H62" s="395"/>
      <c r="I62" s="395"/>
      <c r="J62" s="395"/>
      <c r="K62" s="192"/>
    </row>
    <row r="63" spans="1:11" ht="13.5" customHeight="1">
      <c r="A63" s="191" t="s">
        <v>2068</v>
      </c>
      <c r="B63" s="394"/>
      <c r="C63" s="394"/>
      <c r="D63" s="395"/>
      <c r="E63" s="395"/>
      <c r="F63" s="395"/>
      <c r="G63" s="395"/>
      <c r="H63" s="395"/>
      <c r="I63" s="395"/>
      <c r="J63" s="395"/>
      <c r="K63" s="192"/>
    </row>
    <row r="64" spans="1:11" ht="13.5" customHeight="1">
      <c r="A64" s="191" t="s">
        <v>2069</v>
      </c>
      <c r="B64" s="394"/>
      <c r="C64" s="394"/>
      <c r="D64" s="395"/>
      <c r="E64" s="395"/>
      <c r="F64" s="395"/>
      <c r="G64" s="395"/>
      <c r="H64" s="395"/>
      <c r="I64" s="395"/>
      <c r="J64" s="395"/>
      <c r="K64" s="192"/>
    </row>
    <row r="65" spans="1:11" ht="13.5" customHeight="1">
      <c r="A65" s="191" t="s">
        <v>2070</v>
      </c>
      <c r="B65" s="394"/>
      <c r="C65" s="394"/>
      <c r="D65" s="395"/>
      <c r="E65" s="395"/>
      <c r="F65" s="395"/>
      <c r="G65" s="395"/>
      <c r="H65" s="395"/>
      <c r="I65" s="395"/>
      <c r="J65" s="395"/>
      <c r="K65" s="192"/>
    </row>
    <row r="66" spans="1:11" ht="13.5" customHeight="1">
      <c r="A66" s="191" t="s">
        <v>2071</v>
      </c>
      <c r="B66" s="394"/>
      <c r="C66" s="394"/>
      <c r="D66" s="395"/>
      <c r="E66" s="395"/>
      <c r="F66" s="395"/>
      <c r="G66" s="395"/>
      <c r="H66" s="395"/>
      <c r="I66" s="395"/>
      <c r="J66" s="395"/>
      <c r="K66" s="192"/>
    </row>
    <row r="67" spans="1:11" ht="13.5" customHeight="1">
      <c r="A67" s="191" t="s">
        <v>2072</v>
      </c>
      <c r="B67" s="394"/>
      <c r="C67" s="394"/>
      <c r="D67" s="395"/>
      <c r="E67" s="395"/>
      <c r="F67" s="395"/>
      <c r="G67" s="395"/>
      <c r="H67" s="395"/>
      <c r="I67" s="395"/>
      <c r="J67" s="395"/>
      <c r="K67" s="192"/>
    </row>
    <row r="68" spans="1:11" ht="13.5" customHeight="1">
      <c r="A68" s="191" t="s">
        <v>2073</v>
      </c>
      <c r="B68" s="394"/>
      <c r="C68" s="394"/>
      <c r="D68" s="395"/>
      <c r="E68" s="395"/>
      <c r="F68" s="395"/>
      <c r="G68" s="395"/>
      <c r="H68" s="395"/>
      <c r="I68" s="395"/>
      <c r="J68" s="395"/>
      <c r="K68" s="192"/>
    </row>
    <row r="69" spans="1:11" ht="13.5" customHeight="1">
      <c r="A69" s="191" t="s">
        <v>2074</v>
      </c>
      <c r="B69" s="394"/>
      <c r="C69" s="394"/>
      <c r="D69" s="395"/>
      <c r="E69" s="395"/>
      <c r="F69" s="395"/>
      <c r="G69" s="395"/>
      <c r="H69" s="395"/>
      <c r="I69" s="395"/>
      <c r="J69" s="395"/>
      <c r="K69" s="192"/>
    </row>
    <row r="70" spans="1:11" ht="13.5" customHeight="1">
      <c r="A70" s="191" t="s">
        <v>2075</v>
      </c>
      <c r="B70" s="394"/>
      <c r="C70" s="394"/>
      <c r="D70" s="395"/>
      <c r="E70" s="395"/>
      <c r="F70" s="395"/>
      <c r="G70" s="395"/>
      <c r="H70" s="395"/>
      <c r="I70" s="395"/>
      <c r="J70" s="395"/>
      <c r="K70" s="192"/>
    </row>
    <row r="71" spans="1:11" ht="13.5" customHeight="1">
      <c r="A71" s="191" t="s">
        <v>2076</v>
      </c>
      <c r="B71" s="394"/>
      <c r="C71" s="394"/>
      <c r="D71" s="395"/>
      <c r="E71" s="395"/>
      <c r="F71" s="395"/>
      <c r="G71" s="395"/>
      <c r="H71" s="395"/>
      <c r="I71" s="395"/>
      <c r="J71" s="395"/>
      <c r="K71" s="192"/>
    </row>
    <row r="72" spans="1:11" ht="13.5" customHeight="1">
      <c r="A72" s="191" t="s">
        <v>2077</v>
      </c>
      <c r="B72" s="394"/>
      <c r="C72" s="394"/>
      <c r="D72" s="395"/>
      <c r="E72" s="395"/>
      <c r="F72" s="395"/>
      <c r="G72" s="395"/>
      <c r="H72" s="395"/>
      <c r="I72" s="395"/>
      <c r="J72" s="395"/>
      <c r="K72" s="192"/>
    </row>
    <row r="73" spans="1:11" ht="13.5" customHeight="1">
      <c r="A73" s="191" t="s">
        <v>2078</v>
      </c>
      <c r="B73" s="394"/>
      <c r="C73" s="394"/>
      <c r="D73" s="395"/>
      <c r="E73" s="395"/>
      <c r="F73" s="395"/>
      <c r="G73" s="395"/>
      <c r="H73" s="395"/>
      <c r="I73" s="395"/>
      <c r="J73" s="395"/>
      <c r="K73" s="192"/>
    </row>
    <row r="74" spans="1:11" ht="13.5" customHeight="1">
      <c r="A74" s="191" t="s">
        <v>2079</v>
      </c>
      <c r="B74" s="394"/>
      <c r="C74" s="394"/>
      <c r="D74" s="395"/>
      <c r="E74" s="395"/>
      <c r="F74" s="395"/>
      <c r="G74" s="395"/>
      <c r="H74" s="395"/>
      <c r="I74" s="395"/>
      <c r="J74" s="395"/>
      <c r="K74" s="192"/>
    </row>
    <row r="75" spans="1:11" ht="13.5" customHeight="1">
      <c r="A75" s="191" t="s">
        <v>2080</v>
      </c>
      <c r="B75" s="394"/>
      <c r="C75" s="394"/>
      <c r="D75" s="395"/>
      <c r="E75" s="395"/>
      <c r="F75" s="395"/>
      <c r="G75" s="395"/>
      <c r="H75" s="395"/>
      <c r="I75" s="395"/>
      <c r="J75" s="395"/>
      <c r="K75" s="192"/>
    </row>
    <row r="76" spans="1:11" ht="13.5" customHeight="1">
      <c r="A76" s="191" t="s">
        <v>2081</v>
      </c>
      <c r="B76" s="394"/>
      <c r="C76" s="394"/>
      <c r="D76" s="395"/>
      <c r="E76" s="395"/>
      <c r="F76" s="395"/>
      <c r="G76" s="395"/>
      <c r="H76" s="395"/>
      <c r="I76" s="395"/>
      <c r="J76" s="395"/>
      <c r="K76" s="192"/>
    </row>
    <row r="77" spans="1:11" ht="13.5" customHeight="1">
      <c r="A77" s="191" t="s">
        <v>2082</v>
      </c>
      <c r="B77" s="394"/>
      <c r="C77" s="394"/>
      <c r="D77" s="395"/>
      <c r="E77" s="395"/>
      <c r="F77" s="395"/>
      <c r="G77" s="395"/>
      <c r="H77" s="395"/>
      <c r="I77" s="395"/>
      <c r="J77" s="395"/>
      <c r="K77" s="192"/>
    </row>
    <row r="78" spans="1:11" ht="13.5" customHeight="1">
      <c r="A78" s="191" t="s">
        <v>2083</v>
      </c>
      <c r="B78" s="394"/>
      <c r="C78" s="394"/>
      <c r="D78" s="395"/>
      <c r="E78" s="395"/>
      <c r="F78" s="395"/>
      <c r="G78" s="395"/>
      <c r="H78" s="395"/>
      <c r="I78" s="395"/>
      <c r="J78" s="395"/>
      <c r="K78" s="192"/>
    </row>
    <row r="79" spans="1:11" ht="13.5" customHeight="1">
      <c r="A79" s="191" t="s">
        <v>2084</v>
      </c>
      <c r="B79" s="394"/>
      <c r="C79" s="394"/>
      <c r="D79" s="395"/>
      <c r="E79" s="395"/>
      <c r="F79" s="395"/>
      <c r="G79" s="395"/>
      <c r="H79" s="395"/>
      <c r="I79" s="395"/>
      <c r="J79" s="395"/>
      <c r="K79" s="192"/>
    </row>
    <row r="80" spans="1:11" ht="13.5" customHeight="1">
      <c r="A80" s="191" t="s">
        <v>2085</v>
      </c>
      <c r="B80" s="394"/>
      <c r="C80" s="394"/>
      <c r="D80" s="395"/>
      <c r="E80" s="395"/>
      <c r="F80" s="395"/>
      <c r="G80" s="395"/>
      <c r="H80" s="395"/>
      <c r="I80" s="395"/>
      <c r="J80" s="395"/>
      <c r="K80" s="192"/>
    </row>
    <row r="81" spans="1:11" ht="13.5" customHeight="1">
      <c r="A81" s="191" t="s">
        <v>2086</v>
      </c>
      <c r="B81" s="394"/>
      <c r="C81" s="394"/>
      <c r="D81" s="395"/>
      <c r="E81" s="395"/>
      <c r="F81" s="395"/>
      <c r="G81" s="395"/>
      <c r="H81" s="395"/>
      <c r="I81" s="395"/>
      <c r="J81" s="395"/>
      <c r="K81" s="192"/>
    </row>
    <row r="82" spans="1:11" ht="13.5" customHeight="1">
      <c r="A82" s="191" t="s">
        <v>2087</v>
      </c>
      <c r="B82" s="394"/>
      <c r="C82" s="394"/>
      <c r="D82" s="395"/>
      <c r="E82" s="395"/>
      <c r="F82" s="395"/>
      <c r="G82" s="395"/>
      <c r="H82" s="395"/>
      <c r="I82" s="395"/>
      <c r="J82" s="395"/>
      <c r="K82" s="192"/>
    </row>
    <row r="83" spans="1:11" ht="13.5" customHeight="1">
      <c r="A83" s="191" t="s">
        <v>2088</v>
      </c>
      <c r="B83" s="394"/>
      <c r="C83" s="394"/>
      <c r="D83" s="395"/>
      <c r="E83" s="395"/>
      <c r="F83" s="395"/>
      <c r="G83" s="395"/>
      <c r="H83" s="395"/>
      <c r="I83" s="395"/>
      <c r="J83" s="395"/>
      <c r="K83" s="192"/>
    </row>
    <row r="84" spans="1:11" ht="13.5" customHeight="1">
      <c r="A84" s="191" t="s">
        <v>2089</v>
      </c>
      <c r="B84" s="394"/>
      <c r="C84" s="394"/>
      <c r="D84" s="395"/>
      <c r="E84" s="395"/>
      <c r="F84" s="395"/>
      <c r="G84" s="395"/>
      <c r="H84" s="395"/>
      <c r="I84" s="395"/>
      <c r="J84" s="395"/>
      <c r="K84" s="192"/>
    </row>
    <row r="85" spans="1:11" ht="13.5" customHeight="1">
      <c r="A85" s="191" t="s">
        <v>2090</v>
      </c>
      <c r="B85" s="394"/>
      <c r="C85" s="394"/>
      <c r="D85" s="395"/>
      <c r="E85" s="395"/>
      <c r="F85" s="395"/>
      <c r="G85" s="395"/>
      <c r="H85" s="395"/>
      <c r="I85" s="395"/>
      <c r="J85" s="395"/>
      <c r="K85" s="192"/>
    </row>
    <row r="86" spans="1:11" ht="13.5" customHeight="1">
      <c r="A86" s="191" t="s">
        <v>2091</v>
      </c>
      <c r="B86" s="394"/>
      <c r="C86" s="394"/>
      <c r="D86" s="395"/>
      <c r="E86" s="395"/>
      <c r="F86" s="395"/>
      <c r="G86" s="395"/>
      <c r="H86" s="395"/>
      <c r="I86" s="395"/>
      <c r="J86" s="395"/>
      <c r="K86" s="192"/>
    </row>
    <row r="87" spans="1:11" ht="13.5" customHeight="1">
      <c r="A87" s="191" t="s">
        <v>2092</v>
      </c>
      <c r="B87" s="394"/>
      <c r="C87" s="394"/>
      <c r="D87" s="395"/>
      <c r="E87" s="395"/>
      <c r="F87" s="395"/>
      <c r="G87" s="395"/>
      <c r="H87" s="395"/>
      <c r="I87" s="395"/>
      <c r="J87" s="395"/>
      <c r="K87" s="192"/>
    </row>
    <row r="88" spans="1:11" ht="13.5" customHeight="1">
      <c r="A88" s="191" t="s">
        <v>2093</v>
      </c>
      <c r="B88" s="394"/>
      <c r="C88" s="394"/>
      <c r="D88" s="395"/>
      <c r="E88" s="395"/>
      <c r="F88" s="395"/>
      <c r="G88" s="395"/>
      <c r="H88" s="395"/>
      <c r="I88" s="395"/>
      <c r="J88" s="395"/>
      <c r="K88" s="192"/>
    </row>
    <row r="89" spans="1:11" ht="13.5" customHeight="1">
      <c r="A89" s="191" t="s">
        <v>2094</v>
      </c>
      <c r="B89" s="394"/>
      <c r="C89" s="394"/>
      <c r="D89" s="395"/>
      <c r="E89" s="395"/>
      <c r="F89" s="395"/>
      <c r="G89" s="395"/>
      <c r="H89" s="395"/>
      <c r="I89" s="395"/>
      <c r="J89" s="395"/>
      <c r="K89" s="192"/>
    </row>
    <row r="90" spans="1:11" ht="13.5" customHeight="1">
      <c r="A90" s="191" t="s">
        <v>2095</v>
      </c>
      <c r="B90" s="394"/>
      <c r="C90" s="394"/>
      <c r="D90" s="395"/>
      <c r="E90" s="395"/>
      <c r="F90" s="395"/>
      <c r="G90" s="395"/>
      <c r="H90" s="395"/>
      <c r="I90" s="395"/>
      <c r="J90" s="395"/>
      <c r="K90" s="192"/>
    </row>
    <row r="91" spans="1:11" ht="13.5" customHeight="1">
      <c r="A91" s="191" t="s">
        <v>2096</v>
      </c>
      <c r="B91" s="394"/>
      <c r="C91" s="394"/>
      <c r="D91" s="395"/>
      <c r="E91" s="395"/>
      <c r="F91" s="395"/>
      <c r="G91" s="395"/>
      <c r="H91" s="395"/>
      <c r="I91" s="395"/>
      <c r="J91" s="395"/>
      <c r="K91" s="192"/>
    </row>
    <row r="92" spans="1:11" ht="13.5" customHeight="1">
      <c r="A92" s="191" t="s">
        <v>2097</v>
      </c>
      <c r="B92" s="394"/>
      <c r="C92" s="394"/>
      <c r="D92" s="395"/>
      <c r="E92" s="395"/>
      <c r="F92" s="395"/>
      <c r="G92" s="395"/>
      <c r="H92" s="395"/>
      <c r="I92" s="395"/>
      <c r="J92" s="395"/>
      <c r="K92" s="192"/>
    </row>
    <row r="93" spans="1:11" ht="13.5" customHeight="1">
      <c r="A93" s="191" t="s">
        <v>2098</v>
      </c>
      <c r="B93" s="394"/>
      <c r="C93" s="394"/>
      <c r="D93" s="395"/>
      <c r="E93" s="395"/>
      <c r="F93" s="395"/>
      <c r="G93" s="395"/>
      <c r="H93" s="395"/>
      <c r="I93" s="395"/>
      <c r="J93" s="395"/>
      <c r="K93" s="192"/>
    </row>
    <row r="94" spans="1:11" ht="13.5" customHeight="1">
      <c r="A94" s="191" t="s">
        <v>2099</v>
      </c>
      <c r="B94" s="394"/>
      <c r="C94" s="394"/>
      <c r="D94" s="395"/>
      <c r="E94" s="395"/>
      <c r="F94" s="395"/>
      <c r="G94" s="395"/>
      <c r="H94" s="395"/>
      <c r="I94" s="395"/>
      <c r="J94" s="395"/>
      <c r="K94" s="192"/>
    </row>
    <row r="95" spans="1:11" ht="13.5" customHeight="1">
      <c r="A95" s="191" t="s">
        <v>2100</v>
      </c>
      <c r="B95" s="394"/>
      <c r="C95" s="394"/>
      <c r="D95" s="395"/>
      <c r="E95" s="395"/>
      <c r="F95" s="395"/>
      <c r="G95" s="395"/>
      <c r="H95" s="395"/>
      <c r="I95" s="395"/>
      <c r="J95" s="395"/>
      <c r="K95" s="192"/>
    </row>
    <row r="96" spans="1:11" ht="13.5" customHeight="1">
      <c r="A96" s="191" t="s">
        <v>2101</v>
      </c>
      <c r="B96" s="394"/>
      <c r="C96" s="394"/>
      <c r="D96" s="395"/>
      <c r="E96" s="395"/>
      <c r="F96" s="395"/>
      <c r="G96" s="395"/>
      <c r="H96" s="395"/>
      <c r="I96" s="395"/>
      <c r="J96" s="395"/>
      <c r="K96" s="192"/>
    </row>
    <row r="97" spans="1:11" ht="13.5" customHeight="1">
      <c r="A97" s="191" t="s">
        <v>2102</v>
      </c>
      <c r="B97" s="394"/>
      <c r="C97" s="394"/>
      <c r="D97" s="395"/>
      <c r="E97" s="395"/>
      <c r="F97" s="395"/>
      <c r="G97" s="395"/>
      <c r="H97" s="395"/>
      <c r="I97" s="395"/>
      <c r="J97" s="395"/>
      <c r="K97" s="192"/>
    </row>
    <row r="98" spans="1:11" ht="13.5" customHeight="1">
      <c r="A98" s="191" t="s">
        <v>2103</v>
      </c>
      <c r="B98" s="394"/>
      <c r="C98" s="394"/>
      <c r="D98" s="395"/>
      <c r="E98" s="395"/>
      <c r="F98" s="395"/>
      <c r="G98" s="395"/>
      <c r="H98" s="395"/>
      <c r="I98" s="395"/>
      <c r="J98" s="395"/>
      <c r="K98" s="192"/>
    </row>
    <row r="99" spans="1:11" ht="13.5" customHeight="1">
      <c r="A99" s="191" t="s">
        <v>2104</v>
      </c>
      <c r="B99" s="394"/>
      <c r="C99" s="394"/>
      <c r="D99" s="395"/>
      <c r="E99" s="395"/>
      <c r="F99" s="395"/>
      <c r="G99" s="395"/>
      <c r="H99" s="395"/>
      <c r="I99" s="395"/>
      <c r="J99" s="395"/>
      <c r="K99" s="192"/>
    </row>
    <row r="100" spans="1:11" ht="13.5" customHeight="1">
      <c r="A100" s="191" t="s">
        <v>2105</v>
      </c>
      <c r="B100" s="394"/>
      <c r="C100" s="394"/>
      <c r="D100" s="395"/>
      <c r="E100" s="395"/>
      <c r="F100" s="395"/>
      <c r="G100" s="395"/>
      <c r="H100" s="395"/>
      <c r="I100" s="395"/>
      <c r="J100" s="395"/>
      <c r="K100" s="192"/>
    </row>
    <row r="101" spans="1:11" ht="13.5" customHeight="1">
      <c r="A101" s="191" t="s">
        <v>2106</v>
      </c>
      <c r="B101" s="394"/>
      <c r="C101" s="394"/>
      <c r="D101" s="395"/>
      <c r="E101" s="395"/>
      <c r="F101" s="395"/>
      <c r="G101" s="395"/>
      <c r="H101" s="395"/>
      <c r="I101" s="395"/>
      <c r="J101" s="395"/>
      <c r="K101" s="192"/>
    </row>
    <row r="102" spans="1:11" ht="13.5" customHeight="1">
      <c r="A102" s="191" t="s">
        <v>2107</v>
      </c>
      <c r="B102" s="394"/>
      <c r="C102" s="394"/>
      <c r="D102" s="395"/>
      <c r="E102" s="395"/>
      <c r="F102" s="395"/>
      <c r="G102" s="395"/>
      <c r="H102" s="395"/>
      <c r="I102" s="395"/>
      <c r="J102" s="395"/>
      <c r="K102" s="192"/>
    </row>
    <row r="103" spans="1:11" ht="13.5" customHeight="1">
      <c r="A103" s="191" t="s">
        <v>2108</v>
      </c>
      <c r="B103" s="394"/>
      <c r="C103" s="394"/>
      <c r="D103" s="395"/>
      <c r="E103" s="395"/>
      <c r="F103" s="395"/>
      <c r="G103" s="395"/>
      <c r="H103" s="395"/>
      <c r="I103" s="395"/>
      <c r="J103" s="395"/>
      <c r="K103" s="192"/>
    </row>
    <row r="104" spans="1:11" ht="13.5" customHeight="1">
      <c r="A104" s="191" t="s">
        <v>2109</v>
      </c>
      <c r="B104" s="394"/>
      <c r="C104" s="394"/>
      <c r="D104" s="395"/>
      <c r="E104" s="395"/>
      <c r="F104" s="395"/>
      <c r="G104" s="395"/>
      <c r="H104" s="395"/>
      <c r="I104" s="395"/>
      <c r="J104" s="395"/>
      <c r="K104" s="192"/>
    </row>
    <row r="105" spans="1:11" ht="13.5" customHeight="1">
      <c r="A105" s="191" t="s">
        <v>2110</v>
      </c>
      <c r="B105" s="394"/>
      <c r="C105" s="394"/>
      <c r="D105" s="395"/>
      <c r="E105" s="395"/>
      <c r="F105" s="395"/>
      <c r="G105" s="395"/>
      <c r="H105" s="395"/>
      <c r="I105" s="395"/>
      <c r="J105" s="395"/>
      <c r="K105" s="192"/>
    </row>
    <row r="106" spans="1:11" ht="13.5" customHeight="1">
      <c r="A106" s="191" t="s">
        <v>2111</v>
      </c>
      <c r="B106" s="394"/>
      <c r="C106" s="394"/>
      <c r="D106" s="395"/>
      <c r="E106" s="395"/>
      <c r="F106" s="395"/>
      <c r="G106" s="395"/>
      <c r="H106" s="395"/>
      <c r="I106" s="395"/>
      <c r="J106" s="395"/>
      <c r="K106" s="192"/>
    </row>
    <row r="107" spans="1:11" ht="13.5" customHeight="1">
      <c r="A107" s="191" t="s">
        <v>2112</v>
      </c>
      <c r="B107" s="394"/>
      <c r="C107" s="394"/>
      <c r="D107" s="395"/>
      <c r="E107" s="395"/>
      <c r="F107" s="395"/>
      <c r="G107" s="395"/>
      <c r="H107" s="395"/>
      <c r="I107" s="395"/>
      <c r="J107" s="395"/>
      <c r="K107" s="192"/>
    </row>
    <row r="108" spans="1:11" ht="13.5" customHeight="1">
      <c r="A108" s="191" t="s">
        <v>2113</v>
      </c>
      <c r="B108" s="394"/>
      <c r="C108" s="394"/>
      <c r="D108" s="395"/>
      <c r="E108" s="395"/>
      <c r="F108" s="395"/>
      <c r="G108" s="395"/>
      <c r="H108" s="395"/>
      <c r="I108" s="395"/>
      <c r="J108" s="395"/>
      <c r="K108" s="192"/>
    </row>
    <row r="109" ht="4.5" customHeight="1"/>
  </sheetData>
  <sheetProtection sheet="1" objects="1" scenarios="1"/>
  <mergeCells count="312">
    <mergeCell ref="B107:C107"/>
    <mergeCell ref="D107:H107"/>
    <mergeCell ref="I107:J107"/>
    <mergeCell ref="B108:C108"/>
    <mergeCell ref="D108:H108"/>
    <mergeCell ref="I108:J108"/>
    <mergeCell ref="B105:C105"/>
    <mergeCell ref="D105:H105"/>
    <mergeCell ref="I105:J105"/>
    <mergeCell ref="B106:C106"/>
    <mergeCell ref="D106:H106"/>
    <mergeCell ref="I106:J106"/>
    <mergeCell ref="B103:C103"/>
    <mergeCell ref="D103:H103"/>
    <mergeCell ref="I103:J103"/>
    <mergeCell ref="B104:C104"/>
    <mergeCell ref="D104:H104"/>
    <mergeCell ref="I104:J104"/>
    <mergeCell ref="B101:C101"/>
    <mergeCell ref="D101:H101"/>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7:C17"/>
    <mergeCell ref="D17:H17"/>
    <mergeCell ref="I17:J17"/>
    <mergeCell ref="B18:C18"/>
    <mergeCell ref="D18:H18"/>
    <mergeCell ref="I18:J18"/>
    <mergeCell ref="B15:C15"/>
    <mergeCell ref="D15:H15"/>
    <mergeCell ref="I15:J15"/>
    <mergeCell ref="B16:C16"/>
    <mergeCell ref="D16:H16"/>
    <mergeCell ref="I16:J16"/>
    <mergeCell ref="B13:C13"/>
    <mergeCell ref="D13:H13"/>
    <mergeCell ref="I13:J13"/>
    <mergeCell ref="B14:C14"/>
    <mergeCell ref="D14:H14"/>
    <mergeCell ref="I14:J14"/>
    <mergeCell ref="B11:C11"/>
    <mergeCell ref="D11:H11"/>
    <mergeCell ref="I11:J11"/>
    <mergeCell ref="B12:C12"/>
    <mergeCell ref="D12:H12"/>
    <mergeCell ref="I12:J12"/>
    <mergeCell ref="D8:H8"/>
    <mergeCell ref="I8:J8"/>
    <mergeCell ref="B9:C9"/>
    <mergeCell ref="D9:H9"/>
    <mergeCell ref="I9:J9"/>
    <mergeCell ref="B10:C10"/>
    <mergeCell ref="D10:H10"/>
    <mergeCell ref="I10:J10"/>
    <mergeCell ref="A1:B2"/>
    <mergeCell ref="A3:K3"/>
    <mergeCell ref="A4:K4"/>
    <mergeCell ref="A5:K5"/>
    <mergeCell ref="A6:K6"/>
    <mergeCell ref="A7:A8"/>
    <mergeCell ref="B7:C7"/>
    <mergeCell ref="D7:H7"/>
    <mergeCell ref="I7:J7"/>
    <mergeCell ref="B8:C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7" activePane="bottomLeft" state="frozen"/>
      <selection pane="topLeft" activeCell="A1" sqref="A1"/>
      <selection pane="bottomLeft" activeCell="A1" sqref="A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58" t="s">
        <v>97</v>
      </c>
      <c r="B1" s="258"/>
      <c r="C1" s="29" t="s">
        <v>98</v>
      </c>
      <c r="D1" s="30" t="s">
        <v>99</v>
      </c>
      <c r="E1" s="30" t="s">
        <v>93</v>
      </c>
      <c r="F1" s="31" t="s">
        <v>100</v>
      </c>
      <c r="G1" s="30" t="s">
        <v>101</v>
      </c>
      <c r="H1" s="31" t="s">
        <v>102</v>
      </c>
      <c r="I1" s="30" t="s">
        <v>104</v>
      </c>
      <c r="J1" s="32"/>
      <c r="M1" s="72">
        <f>SUM(L5:L81)</f>
        <v>0</v>
      </c>
    </row>
    <row r="2" spans="1:24" s="72" customFormat="1" ht="19.5" customHeight="1">
      <c r="A2" s="258"/>
      <c r="B2" s="258"/>
      <c r="C2" s="33" t="s">
        <v>105</v>
      </c>
      <c r="D2" s="34" t="s">
        <v>106</v>
      </c>
      <c r="E2" s="34" t="s">
        <v>107</v>
      </c>
      <c r="F2" s="34" t="s">
        <v>108</v>
      </c>
      <c r="G2" s="34" t="s">
        <v>109</v>
      </c>
      <c r="H2" s="34" t="s">
        <v>110</v>
      </c>
      <c r="I2" s="35" t="s">
        <v>111</v>
      </c>
      <c r="J2" s="36"/>
      <c r="T2"/>
      <c r="U2"/>
      <c r="V2"/>
      <c r="W2"/>
      <c r="X2"/>
    </row>
    <row r="3" spans="1:10" ht="30" customHeight="1">
      <c r="A3" s="396" t="s">
        <v>2114</v>
      </c>
      <c r="B3" s="396"/>
      <c r="C3" s="396" t="s">
        <v>2115</v>
      </c>
      <c r="D3" s="396"/>
      <c r="E3" s="396"/>
      <c r="F3" s="396"/>
      <c r="G3" s="396"/>
      <c r="H3" s="396"/>
      <c r="I3" s="396"/>
      <c r="J3" s="396"/>
    </row>
    <row r="4" spans="1:15" ht="19.5" customHeight="1">
      <c r="A4" s="397" t="s">
        <v>2116</v>
      </c>
      <c r="B4" s="397"/>
      <c r="C4" s="397"/>
      <c r="D4" s="397"/>
      <c r="E4" s="397"/>
      <c r="F4" s="397"/>
      <c r="G4" s="397"/>
      <c r="H4" s="397"/>
      <c r="I4" s="397"/>
      <c r="J4" s="397"/>
      <c r="L4" s="193"/>
      <c r="M4" s="193"/>
      <c r="N4" s="193"/>
      <c r="O4" s="193"/>
    </row>
    <row r="5" spans="1:15" ht="30" customHeight="1">
      <c r="A5" s="194" t="s">
        <v>2117</v>
      </c>
      <c r="B5" s="195" t="str">
        <f aca="true" t="shared" si="0" ref="B5:B30">IF(L5=0,"Ispravno","Nije ispravno")</f>
        <v>Ispravno</v>
      </c>
      <c r="C5" s="398" t="s">
        <v>2118</v>
      </c>
      <c r="D5" s="398"/>
      <c r="E5" s="398"/>
      <c r="F5" s="398"/>
      <c r="G5" s="398"/>
      <c r="H5" s="398"/>
      <c r="I5" s="398"/>
      <c r="J5" s="398"/>
      <c r="L5" s="193">
        <f>IF(MAX(M5:O5)&gt;1,1,0)</f>
        <v>0</v>
      </c>
      <c r="M5" s="193">
        <f>ABS(Bilanca!K69-Bilanca!K117)</f>
        <v>0</v>
      </c>
      <c r="N5" s="193">
        <f>ABS(Bilanca!L69-Bilanca!L117)</f>
        <v>0</v>
      </c>
      <c r="O5" s="47">
        <f>IF(Bilanca!L69=0,2,0)</f>
        <v>0</v>
      </c>
    </row>
    <row r="6" spans="1:14" ht="30" customHeight="1">
      <c r="A6" s="194" t="s">
        <v>2119</v>
      </c>
      <c r="B6" s="195" t="str">
        <f t="shared" si="0"/>
        <v>Ispravno</v>
      </c>
      <c r="C6" s="399" t="s">
        <v>2120</v>
      </c>
      <c r="D6" s="399"/>
      <c r="E6" s="399"/>
      <c r="F6" s="399"/>
      <c r="G6" s="399"/>
      <c r="H6" s="399"/>
      <c r="I6" s="399"/>
      <c r="J6" s="399"/>
      <c r="L6" s="193">
        <f>IF(MAX(M6:N6)&gt;1,1,0)</f>
        <v>0</v>
      </c>
      <c r="M6" s="193">
        <f>ABS(Bilanca!K70-Bilanca!K118)</f>
        <v>0</v>
      </c>
      <c r="N6" s="47">
        <f>ABS(Bilanca!L70-Bilanca!L118)</f>
        <v>0</v>
      </c>
    </row>
    <row r="7" spans="1:14" ht="51.75" customHeight="1">
      <c r="A7" s="194" t="s">
        <v>2121</v>
      </c>
      <c r="B7" s="195" t="str">
        <f t="shared" si="0"/>
        <v>Ispravno</v>
      </c>
      <c r="C7" s="399" t="s">
        <v>2122</v>
      </c>
      <c r="D7" s="399"/>
      <c r="E7" s="399"/>
      <c r="F7" s="399"/>
      <c r="G7" s="399"/>
      <c r="H7" s="399"/>
      <c r="I7" s="399"/>
      <c r="J7" s="399"/>
      <c r="L7" s="193">
        <f>MAX(M7:N7)</f>
        <v>0</v>
      </c>
      <c r="M7" s="193">
        <f>IF(AND(OR(Opci!E9=4,Opci!E9=5),Opci!C57&gt;0,Bilanca!K73=0),1,0)</f>
        <v>0</v>
      </c>
      <c r="N7" s="47">
        <f>IF(AND(OR(Opci!E9=4,Opci!E9=5),Bilanca!L73&lt;=0),1,0)</f>
        <v>0</v>
      </c>
    </row>
    <row r="8" spans="1:14" ht="45" customHeight="1">
      <c r="A8" s="194" t="s">
        <v>2123</v>
      </c>
      <c r="B8" s="195" t="str">
        <f t="shared" si="0"/>
        <v>Ispravno</v>
      </c>
      <c r="C8" s="399" t="s">
        <v>2124</v>
      </c>
      <c r="D8" s="399"/>
      <c r="E8" s="399"/>
      <c r="F8" s="399"/>
      <c r="G8" s="399"/>
      <c r="H8" s="399"/>
      <c r="I8" s="399"/>
      <c r="J8" s="399"/>
      <c r="L8" s="193">
        <f>IF(MAX(M8:N8)&gt;1,1,0)</f>
        <v>0</v>
      </c>
      <c r="M8" s="193">
        <f>IF(AND(Opci!C17&lt;&gt;32,Opci!C41&lt;&gt;"DA"),ABS(Bilanca!K86-RDG!K51),0)</f>
        <v>0</v>
      </c>
      <c r="N8" s="193">
        <f>IF(AND(Opci!C17&lt;&gt;32,Opci!C41&lt;&gt;"DA"),ABS(Bilanca!L86-RDG!L51),0)</f>
        <v>0</v>
      </c>
    </row>
    <row r="9" spans="1:15" ht="45" customHeight="1">
      <c r="A9" s="194" t="s">
        <v>2125</v>
      </c>
      <c r="B9" s="195" t="str">
        <f t="shared" si="0"/>
        <v>Ispravno</v>
      </c>
      <c r="C9" s="399" t="s">
        <v>2126</v>
      </c>
      <c r="D9" s="399"/>
      <c r="E9" s="399"/>
      <c r="F9" s="399"/>
      <c r="G9" s="399"/>
      <c r="H9" s="399"/>
      <c r="I9" s="399"/>
      <c r="J9" s="399"/>
      <c r="L9" s="193">
        <f>IF(MAX(M9:O9)&gt;1,1,0)</f>
        <v>0</v>
      </c>
      <c r="M9" s="193">
        <f>IF(AND(Opci!C17&lt;&gt;32,Opci!C41&lt;&gt;"DA"),ABS(Bilanca!K87-RDG!K52),0)</f>
        <v>0</v>
      </c>
      <c r="N9" s="193">
        <f>IF(AND(Opci!C17&lt;&gt;32,Opci!C41&lt;&gt;"DA"),ABS(Bilanca!L87-RDG!L52),0)</f>
        <v>0</v>
      </c>
      <c r="O9" s="193"/>
    </row>
    <row r="10" spans="1:15" ht="30" customHeight="1">
      <c r="A10" s="194" t="s">
        <v>2127</v>
      </c>
      <c r="B10" s="195" t="str">
        <f t="shared" si="0"/>
        <v>Ispravno</v>
      </c>
      <c r="C10" s="399" t="s">
        <v>2128</v>
      </c>
      <c r="D10" s="399"/>
      <c r="E10" s="399"/>
      <c r="F10" s="399"/>
      <c r="G10" s="399"/>
      <c r="H10" s="399"/>
      <c r="I10" s="399"/>
      <c r="J10" s="399"/>
      <c r="L10" s="193">
        <f>IF(OR(M10=1,N10=1),1,0)</f>
        <v>0</v>
      </c>
      <c r="M10" s="193">
        <f>IF(AND(Bilanca!K86&lt;&gt;0,Bilanca!K87&lt;&gt;0),1,0)</f>
        <v>0</v>
      </c>
      <c r="N10" s="193">
        <f>IF(AND(Bilanca!L86&lt;&gt;0,Bilanca!L87&lt;&gt;0),1,0)</f>
        <v>0</v>
      </c>
      <c r="O10" s="193"/>
    </row>
    <row r="11" spans="1:15" ht="39.75" customHeight="1">
      <c r="A11" s="194" t="s">
        <v>2129</v>
      </c>
      <c r="B11" s="195" t="str">
        <f t="shared" si="0"/>
        <v>Ispravno</v>
      </c>
      <c r="C11" s="399" t="s">
        <v>2130</v>
      </c>
      <c r="D11" s="399"/>
      <c r="E11" s="399"/>
      <c r="F11" s="399"/>
      <c r="G11" s="399"/>
      <c r="H11" s="399"/>
      <c r="I11" s="399"/>
      <c r="J11" s="399"/>
      <c r="L11" s="193">
        <f>MAX(M11:O11)</f>
        <v>0</v>
      </c>
      <c r="M11" s="193">
        <f>IF(AND(Opci!C41&lt;&gt;"DA",OR(Bilanca!Q6=1,Bilanca!Q7=1)),1,0)</f>
        <v>0</v>
      </c>
      <c r="N11" s="47">
        <f>IF(AND(Opci!C41="DA",ABS(Bilanca!K72-Bilanca!K121-Bilanca!K122)&gt;1),1,0)</f>
        <v>0</v>
      </c>
      <c r="O11" s="47">
        <f>IF(AND(Opci!C41="DA",ABS(Bilanca!L72-Bilanca!L121-Bilanca!L122)&gt;1),1,0)</f>
        <v>0</v>
      </c>
    </row>
    <row r="12" spans="1:17" ht="53.25" customHeight="1">
      <c r="A12" s="194" t="s">
        <v>2131</v>
      </c>
      <c r="B12" s="195" t="str">
        <f t="shared" si="0"/>
        <v>Ispravno</v>
      </c>
      <c r="C12" s="399" t="s">
        <v>2132</v>
      </c>
      <c r="D12" s="399"/>
      <c r="E12" s="399"/>
      <c r="F12" s="399"/>
      <c r="G12" s="399"/>
      <c r="H12" s="399"/>
      <c r="I12" s="399"/>
      <c r="J12" s="399"/>
      <c r="L12" s="193">
        <f>MAX(M12:Q12)</f>
        <v>0</v>
      </c>
      <c r="M12" s="193">
        <f>IF(AND(Opci!C41="DA",ABS(RDG!K50-RDG!K55-RDG!K56)&gt;1),1,0)</f>
        <v>0</v>
      </c>
      <c r="N12" s="193">
        <f>IF(AND(Opci!C41="DA",ABS(RDG!L50-RDG!L55-RDG!L56)&gt;1),1,0)</f>
        <v>0</v>
      </c>
      <c r="O12" s="47">
        <f>IF(AND(Opci!C41="DA",ABS(RDG!K69-RDG!K72-RDG!K73)&gt;1),1,0)</f>
        <v>0</v>
      </c>
      <c r="P12" s="47">
        <f>IF(AND(Opci!C41="DA",ABS(RDG!L69-RDG!L72-RDG!L73)&gt;1),1,0)</f>
        <v>0</v>
      </c>
      <c r="Q12" s="47">
        <f>IF(AND(Opci!C41&lt;&gt;"DA",OR(RDG!Q6=1,RDG!Q7=1)),1,0)</f>
        <v>0</v>
      </c>
    </row>
    <row r="13" spans="1:15" ht="40.5" customHeight="1">
      <c r="A13" s="194" t="s">
        <v>2133</v>
      </c>
      <c r="B13" s="195" t="str">
        <f t="shared" si="0"/>
        <v>Ispravno</v>
      </c>
      <c r="C13" s="399" t="s">
        <v>2134</v>
      </c>
      <c r="D13" s="399"/>
      <c r="E13" s="399"/>
      <c r="F13" s="399"/>
      <c r="G13" s="399"/>
      <c r="H13" s="399"/>
      <c r="I13" s="399"/>
      <c r="J13" s="399"/>
      <c r="L13" s="193">
        <f>MAX(M13:P13)</f>
        <v>0</v>
      </c>
      <c r="M13" s="196">
        <f>IF(AND(Opci!C41&lt;&gt;"DA",OR(Bilanca!K88&lt;&gt;0,Bilanca!L88&lt;&gt;0)),1,0)</f>
        <v>0</v>
      </c>
      <c r="N13" s="197">
        <f>IF(AND(Opci!C41="DA",Bilanca!K88=0,Bilanca!K122&lt;&gt;0),1,0)</f>
        <v>0</v>
      </c>
      <c r="O13" s="47">
        <f>IF(AND(Opci!C41="DA",Bilanca!L88=0,Bilanca!L122&lt;&gt;0),1,0)</f>
        <v>0</v>
      </c>
    </row>
    <row r="14" spans="1:14" ht="40.5" customHeight="1">
      <c r="A14" s="194" t="s">
        <v>2135</v>
      </c>
      <c r="B14" s="195" t="str">
        <f t="shared" si="0"/>
        <v>Ispravno</v>
      </c>
      <c r="C14" s="399" t="s">
        <v>2136</v>
      </c>
      <c r="D14" s="399"/>
      <c r="E14" s="399"/>
      <c r="F14" s="399"/>
      <c r="G14" s="399"/>
      <c r="H14" s="399"/>
      <c r="I14" s="399"/>
      <c r="J14" s="399"/>
      <c r="L14" s="193">
        <f>MAX(M14:N14)</f>
        <v>0</v>
      </c>
      <c r="M14" s="196">
        <f>IF(AND(OR(MIN(RDG!K58:L69)&lt;0,MAX(RDG!K58:L69)&gt;0),OR(RDG!K50&lt;&gt;RDG!K58,RDG!L50&lt;&gt;RDG!L58)),1,0)</f>
        <v>0</v>
      </c>
      <c r="N14" s="197"/>
    </row>
    <row r="15" spans="1:16" ht="30" customHeight="1">
      <c r="A15" s="194" t="s">
        <v>2137</v>
      </c>
      <c r="B15" s="195" t="str">
        <f t="shared" si="0"/>
        <v>Ispravno</v>
      </c>
      <c r="C15" s="399" t="s">
        <v>2138</v>
      </c>
      <c r="D15" s="399"/>
      <c r="E15" s="399"/>
      <c r="F15" s="399"/>
      <c r="G15" s="399"/>
      <c r="H15" s="399"/>
      <c r="I15" s="399"/>
      <c r="J15" s="399"/>
      <c r="L15" s="193">
        <f aca="true" t="shared" si="1" ref="L15:L29">IF(M15*N15&gt;0,1,0)</f>
        <v>0</v>
      </c>
      <c r="M15" s="198">
        <f>IF(PodDop!Q$1&gt;0,1,0)</f>
        <v>0</v>
      </c>
      <c r="N15" s="193">
        <f>IF(OR(Bilanca!K13&gt;PodDop!K10,Bilanca!L13&gt;PodDop!L10),1,0)</f>
        <v>0</v>
      </c>
      <c r="O15" s="198"/>
      <c r="P15" s="199"/>
    </row>
    <row r="16" spans="1:16" ht="30" customHeight="1">
      <c r="A16" s="194" t="s">
        <v>2139</v>
      </c>
      <c r="B16" s="195" t="str">
        <f t="shared" si="0"/>
        <v>Ispravno</v>
      </c>
      <c r="C16" s="399" t="s">
        <v>2140</v>
      </c>
      <c r="D16" s="399"/>
      <c r="E16" s="399"/>
      <c r="F16" s="399"/>
      <c r="G16" s="399"/>
      <c r="H16" s="399"/>
      <c r="I16" s="399"/>
      <c r="J16" s="399"/>
      <c r="L16" s="193">
        <f>IF(M16*N16&gt;0,1,0)</f>
        <v>0</v>
      </c>
      <c r="M16" s="198">
        <f>IF(PodDop!Q$1&gt;0,1,0)</f>
        <v>0</v>
      </c>
      <c r="N16" s="193">
        <f>IF(OR(Bilanca!K14&gt;PodDop!K11,Bilanca!L14&gt;PodDop!L11),1,0)</f>
        <v>0</v>
      </c>
      <c r="O16" s="198"/>
      <c r="P16" s="199"/>
    </row>
    <row r="17" spans="1:16" ht="30" customHeight="1">
      <c r="A17" s="194" t="s">
        <v>2141</v>
      </c>
      <c r="B17" s="195" t="str">
        <f t="shared" si="0"/>
        <v>Ispravno</v>
      </c>
      <c r="C17" s="399" t="s">
        <v>2142</v>
      </c>
      <c r="D17" s="399"/>
      <c r="E17" s="399"/>
      <c r="F17" s="399"/>
      <c r="G17" s="399"/>
      <c r="H17" s="399"/>
      <c r="I17" s="399"/>
      <c r="J17" s="399"/>
      <c r="L17" s="193">
        <f>IF(M17*N17&gt;0,1,0)</f>
        <v>0</v>
      </c>
      <c r="M17" s="198">
        <f>IF(PodDop!Q$1&gt;0,1,0)</f>
        <v>0</v>
      </c>
      <c r="N17" s="193">
        <f>IF(OR(Bilanca!K15&gt;PodDop!K12,Bilanca!L15&gt;PodDop!L12),1,0)</f>
        <v>0</v>
      </c>
      <c r="O17" s="198"/>
      <c r="P17" s="199"/>
    </row>
    <row r="18" spans="1:16" ht="30" customHeight="1">
      <c r="A18" s="194" t="s">
        <v>2143</v>
      </c>
      <c r="B18" s="195" t="str">
        <f t="shared" si="0"/>
        <v>Ispravno</v>
      </c>
      <c r="C18" s="399" t="s">
        <v>2144</v>
      </c>
      <c r="D18" s="399"/>
      <c r="E18" s="399"/>
      <c r="F18" s="399"/>
      <c r="G18" s="399"/>
      <c r="H18" s="399"/>
      <c r="I18" s="399"/>
      <c r="J18" s="399"/>
      <c r="L18" s="193">
        <f>IF(M18*N18&gt;0,1,0)</f>
        <v>0</v>
      </c>
      <c r="M18" s="198">
        <f>IF(PodDop!Q$1&gt;0,1,0)</f>
        <v>0</v>
      </c>
      <c r="N18" s="193">
        <f>IF(OR(Bilanca!K16&gt;PodDop!K13,Bilanca!L16&gt;PodDop!L13),1,0)</f>
        <v>0</v>
      </c>
      <c r="O18" s="198"/>
      <c r="P18" s="199"/>
    </row>
    <row r="19" spans="1:16" ht="30" customHeight="1">
      <c r="A19" s="194" t="s">
        <v>2145</v>
      </c>
      <c r="B19" s="195" t="str">
        <f t="shared" si="0"/>
        <v>Ispravno</v>
      </c>
      <c r="C19" s="399" t="s">
        <v>2146</v>
      </c>
      <c r="D19" s="399"/>
      <c r="E19" s="399"/>
      <c r="F19" s="399"/>
      <c r="G19" s="399"/>
      <c r="H19" s="399"/>
      <c r="I19" s="399"/>
      <c r="J19" s="399"/>
      <c r="L19" s="193">
        <f>IF(M19*N19&gt;0,1,0)</f>
        <v>0</v>
      </c>
      <c r="M19" s="198">
        <f>IF(PodDop!Q$1&gt;0,1,0)</f>
        <v>0</v>
      </c>
      <c r="N19" s="193">
        <f>IF(OR(Bilanca!K17&gt;PodDop!K14,Bilanca!L17&gt;PodDop!L14),1,0)</f>
        <v>0</v>
      </c>
      <c r="O19" s="198"/>
      <c r="P19" s="199"/>
    </row>
    <row r="20" spans="1:16" ht="30" customHeight="1">
      <c r="A20" s="194" t="s">
        <v>2147</v>
      </c>
      <c r="B20" s="195" t="str">
        <f t="shared" si="0"/>
        <v>Ispravno</v>
      </c>
      <c r="C20" s="400" t="s">
        <v>2148</v>
      </c>
      <c r="D20" s="400"/>
      <c r="E20" s="400"/>
      <c r="F20" s="400"/>
      <c r="G20" s="400"/>
      <c r="H20" s="400"/>
      <c r="I20" s="400"/>
      <c r="J20" s="400"/>
      <c r="L20" s="193">
        <f>IF(M20*N20&gt;0,1,0)</f>
        <v>0</v>
      </c>
      <c r="M20" s="198">
        <f>IF(PodDop!Q$1&gt;0,1,0)</f>
        <v>0</v>
      </c>
      <c r="N20" s="193">
        <f>IF(OR(Bilanca!K18&gt;PodDop!K15,Bilanca!L18&gt;PodDop!L15),1,0)</f>
        <v>0</v>
      </c>
      <c r="O20" s="198"/>
      <c r="P20" s="199"/>
    </row>
    <row r="21" spans="1:16" ht="30" customHeight="1">
      <c r="A21" s="194" t="s">
        <v>2149</v>
      </c>
      <c r="B21" s="195" t="str">
        <f t="shared" si="0"/>
        <v>Ispravno</v>
      </c>
      <c r="C21" s="399" t="s">
        <v>2150</v>
      </c>
      <c r="D21" s="399"/>
      <c r="E21" s="399"/>
      <c r="F21" s="399"/>
      <c r="G21" s="399"/>
      <c r="H21" s="399"/>
      <c r="I21" s="399"/>
      <c r="J21" s="399"/>
      <c r="L21" s="193">
        <f t="shared" si="1"/>
        <v>0</v>
      </c>
      <c r="M21" s="198">
        <f>IF(PodDop!Q$1&gt;0,1,0)</f>
        <v>0</v>
      </c>
      <c r="N21" s="193">
        <f>IF(OR(Bilanca!K20&gt;PodDop!K16,Bilanca!L20&gt;PodDop!L16),1,0)</f>
        <v>0</v>
      </c>
      <c r="O21" s="198"/>
      <c r="P21" s="199"/>
    </row>
    <row r="22" spans="1:16" ht="30" customHeight="1">
      <c r="A22" s="194" t="s">
        <v>2151</v>
      </c>
      <c r="B22" s="195" t="str">
        <f t="shared" si="0"/>
        <v>Ispravno</v>
      </c>
      <c r="C22" s="399" t="s">
        <v>2152</v>
      </c>
      <c r="D22" s="399"/>
      <c r="E22" s="399"/>
      <c r="F22" s="399"/>
      <c r="G22" s="399"/>
      <c r="H22" s="399"/>
      <c r="I22" s="399"/>
      <c r="J22" s="399"/>
      <c r="L22" s="193">
        <f t="shared" si="1"/>
        <v>0</v>
      </c>
      <c r="M22" s="198">
        <f>IF(PodDop!Q$1&gt;0,1,0)</f>
        <v>0</v>
      </c>
      <c r="N22" s="193">
        <f>IF(OR(Bilanca!K21&gt;PodDop!K17,Bilanca!L21&gt;PodDop!L17),1,0)</f>
        <v>1</v>
      </c>
      <c r="O22" s="198"/>
      <c r="P22" s="199"/>
    </row>
    <row r="23" spans="1:16" ht="30" customHeight="1">
      <c r="A23" s="194" t="s">
        <v>2153</v>
      </c>
      <c r="B23" s="195" t="str">
        <f t="shared" si="0"/>
        <v>Ispravno</v>
      </c>
      <c r="C23" s="399" t="s">
        <v>2154</v>
      </c>
      <c r="D23" s="399"/>
      <c r="E23" s="399"/>
      <c r="F23" s="399"/>
      <c r="G23" s="399"/>
      <c r="H23" s="399"/>
      <c r="I23" s="399"/>
      <c r="J23" s="399"/>
      <c r="L23" s="193">
        <f t="shared" si="1"/>
        <v>0</v>
      </c>
      <c r="M23" s="198">
        <f>IF(PodDop!Q$1&gt;0,1,0)</f>
        <v>0</v>
      </c>
      <c r="N23" s="193">
        <f>IF(OR(Bilanca!K22&gt;PodDop!K18,Bilanca!L22&gt;PodDop!L18),1,0)</f>
        <v>1</v>
      </c>
      <c r="O23" s="198"/>
      <c r="P23" s="199"/>
    </row>
    <row r="24" spans="1:16" ht="30" customHeight="1">
      <c r="A24" s="194" t="s">
        <v>2155</v>
      </c>
      <c r="B24" s="195" t="str">
        <f t="shared" si="0"/>
        <v>Ispravno</v>
      </c>
      <c r="C24" s="399" t="s">
        <v>2156</v>
      </c>
      <c r="D24" s="399"/>
      <c r="E24" s="399"/>
      <c r="F24" s="399"/>
      <c r="G24" s="399"/>
      <c r="H24" s="399"/>
      <c r="I24" s="399"/>
      <c r="J24" s="399"/>
      <c r="L24" s="193">
        <f t="shared" si="1"/>
        <v>0</v>
      </c>
      <c r="M24" s="198">
        <f>IF(PodDop!Q$1&gt;0,1,0)</f>
        <v>0</v>
      </c>
      <c r="N24" s="193">
        <f>IF(OR(Bilanca!K23&gt;PodDop!K19,Bilanca!L23&gt;PodDop!L19),1,0)</f>
        <v>1</v>
      </c>
      <c r="O24" s="198"/>
      <c r="P24" s="199"/>
    </row>
    <row r="25" spans="1:16" ht="30" customHeight="1">
      <c r="A25" s="194" t="s">
        <v>2157</v>
      </c>
      <c r="B25" s="195" t="str">
        <f t="shared" si="0"/>
        <v>Ispravno</v>
      </c>
      <c r="C25" s="399" t="s">
        <v>2158</v>
      </c>
      <c r="D25" s="399"/>
      <c r="E25" s="399"/>
      <c r="F25" s="399"/>
      <c r="G25" s="399"/>
      <c r="H25" s="399"/>
      <c r="I25" s="399"/>
      <c r="J25" s="399"/>
      <c r="L25" s="193">
        <f t="shared" si="1"/>
        <v>0</v>
      </c>
      <c r="M25" s="198">
        <f>IF(PodDop!Q$1&gt;0,1,0)</f>
        <v>0</v>
      </c>
      <c r="N25" s="193">
        <f>IF(OR(Bilanca!K24&gt;PodDop!K20,Bilanca!L24&gt;PodDop!L20),1,0)</f>
        <v>0</v>
      </c>
      <c r="O25" s="198"/>
      <c r="P25" s="199"/>
    </row>
    <row r="26" spans="1:16" ht="30" customHeight="1">
      <c r="A26" s="194" t="s">
        <v>2159</v>
      </c>
      <c r="B26" s="195" t="str">
        <f t="shared" si="0"/>
        <v>Ispravno</v>
      </c>
      <c r="C26" s="399" t="s">
        <v>2160</v>
      </c>
      <c r="D26" s="399"/>
      <c r="E26" s="399"/>
      <c r="F26" s="399"/>
      <c r="G26" s="399"/>
      <c r="H26" s="399"/>
      <c r="I26" s="399"/>
      <c r="J26" s="399"/>
      <c r="L26" s="193">
        <f t="shared" si="1"/>
        <v>0</v>
      </c>
      <c r="M26" s="198">
        <f>IF(PodDop!Q$1&gt;0,1,0)</f>
        <v>0</v>
      </c>
      <c r="N26" s="193">
        <f>IF(OR(Bilanca!K25&gt;PodDop!K21,Bilanca!L25&gt;PodDop!L21),1,0)</f>
        <v>0</v>
      </c>
      <c r="O26" s="198"/>
      <c r="P26" s="199"/>
    </row>
    <row r="27" spans="1:16" ht="30" customHeight="1">
      <c r="A27" s="194" t="s">
        <v>2161</v>
      </c>
      <c r="B27" s="195" t="str">
        <f t="shared" si="0"/>
        <v>Ispravno</v>
      </c>
      <c r="C27" s="399" t="s">
        <v>2162</v>
      </c>
      <c r="D27" s="399"/>
      <c r="E27" s="399"/>
      <c r="F27" s="399"/>
      <c r="G27" s="399"/>
      <c r="H27" s="399"/>
      <c r="I27" s="399"/>
      <c r="J27" s="399"/>
      <c r="L27" s="193">
        <f t="shared" si="1"/>
        <v>0</v>
      </c>
      <c r="M27" s="198">
        <f>IF(PodDop!Q$1&gt;0,1,0)</f>
        <v>0</v>
      </c>
      <c r="N27" s="193">
        <f>IF(OR(Bilanca!K26&gt;PodDop!K22,Bilanca!L26&gt;PodDop!L22),1,0)</f>
        <v>0</v>
      </c>
      <c r="O27" s="198"/>
      <c r="P27" s="199"/>
    </row>
    <row r="28" spans="1:16" ht="30" customHeight="1">
      <c r="A28" s="194" t="s">
        <v>2163</v>
      </c>
      <c r="B28" s="195" t="str">
        <f t="shared" si="0"/>
        <v>Ispravno</v>
      </c>
      <c r="C28" s="399" t="s">
        <v>2164</v>
      </c>
      <c r="D28" s="399"/>
      <c r="E28" s="399"/>
      <c r="F28" s="399"/>
      <c r="G28" s="399"/>
      <c r="H28" s="399"/>
      <c r="I28" s="399"/>
      <c r="J28" s="399"/>
      <c r="L28" s="193">
        <f t="shared" si="1"/>
        <v>0</v>
      </c>
      <c r="M28" s="198">
        <f>IF(PodDop!Q$1&gt;0,1,0)</f>
        <v>0</v>
      </c>
      <c r="N28" s="193">
        <f>IF(OR(Bilanca!K27&gt;PodDop!K23,Bilanca!L27&gt;PodDop!L23),1,0)</f>
        <v>0</v>
      </c>
      <c r="O28" s="198"/>
      <c r="P28" s="199"/>
    </row>
    <row r="29" spans="1:16" ht="30" customHeight="1">
      <c r="A29" s="194" t="s">
        <v>2165</v>
      </c>
      <c r="B29" s="195" t="str">
        <f t="shared" si="0"/>
        <v>Ispravno</v>
      </c>
      <c r="C29" s="399" t="s">
        <v>2166</v>
      </c>
      <c r="D29" s="399"/>
      <c r="E29" s="399"/>
      <c r="F29" s="399"/>
      <c r="G29" s="399"/>
      <c r="H29" s="399"/>
      <c r="I29" s="399"/>
      <c r="J29" s="399"/>
      <c r="L29" s="193">
        <f t="shared" si="1"/>
        <v>0</v>
      </c>
      <c r="M29" s="198">
        <f>IF(PodDop!Q$1&gt;0,1,0)</f>
        <v>0</v>
      </c>
      <c r="N29" s="193">
        <f>IF(OR(Bilanca!K28&gt;PodDop!K24,Bilanca!L28&gt;PodDop!L24),1,0)</f>
        <v>0</v>
      </c>
      <c r="O29" s="198"/>
      <c r="P29" s="199"/>
    </row>
    <row r="30" spans="1:15" ht="36.75" customHeight="1">
      <c r="A30" s="194" t="s">
        <v>2167</v>
      </c>
      <c r="B30" s="195" t="str">
        <f t="shared" si="0"/>
        <v>Ispravno</v>
      </c>
      <c r="C30" s="399" t="s">
        <v>2168</v>
      </c>
      <c r="D30" s="399"/>
      <c r="E30" s="399"/>
      <c r="F30" s="399"/>
      <c r="G30" s="399"/>
      <c r="H30" s="399"/>
      <c r="I30" s="399"/>
      <c r="J30" s="399"/>
      <c r="L30" s="193">
        <f aca="true" t="shared" si="2" ref="L30:L39">IF(M30+N30&gt;0,1,0)</f>
        <v>0</v>
      </c>
      <c r="M30" s="193">
        <f>IF(PodDop!K27&lt;PodDop!K28,1,0)</f>
        <v>0</v>
      </c>
      <c r="N30" s="193">
        <f>IF(PodDop!L27&lt;PodDop!L28,1,0)</f>
        <v>0</v>
      </c>
      <c r="O30" s="193"/>
    </row>
    <row r="31" spans="1:15" ht="36.75" customHeight="1">
      <c r="A31" s="194" t="s">
        <v>2169</v>
      </c>
      <c r="B31" s="195" t="str">
        <f aca="true" t="shared" si="3" ref="B31:B42">IF(L31=0,"Ispravno","Nije ispravno")</f>
        <v>Ispravno</v>
      </c>
      <c r="C31" s="399" t="s">
        <v>2170</v>
      </c>
      <c r="D31" s="399"/>
      <c r="E31" s="399"/>
      <c r="F31" s="399"/>
      <c r="G31" s="399"/>
      <c r="H31" s="399"/>
      <c r="I31" s="399"/>
      <c r="J31" s="399"/>
      <c r="L31" s="193">
        <f t="shared" si="2"/>
        <v>0</v>
      </c>
      <c r="M31" s="193">
        <f>IF(PodDop!K29&lt;PodDop!K30,1,0)</f>
        <v>0</v>
      </c>
      <c r="N31" s="193">
        <f>IF(PodDop!L29&lt;PodDop!L30,1,0)</f>
        <v>0</v>
      </c>
      <c r="O31" s="193"/>
    </row>
    <row r="32" spans="1:15" ht="36.75" customHeight="1">
      <c r="A32" s="194" t="s">
        <v>2171</v>
      </c>
      <c r="B32" s="195" t="str">
        <f t="shared" si="3"/>
        <v>Ispravno</v>
      </c>
      <c r="C32" s="399" t="s">
        <v>2172</v>
      </c>
      <c r="D32" s="399"/>
      <c r="E32" s="399"/>
      <c r="F32" s="399"/>
      <c r="G32" s="399"/>
      <c r="H32" s="399"/>
      <c r="I32" s="399"/>
      <c r="J32" s="399"/>
      <c r="L32" s="193">
        <f t="shared" si="2"/>
        <v>0</v>
      </c>
      <c r="M32" s="193">
        <f>IF(PodDop!K31&lt;PodDop!K32,1,0)</f>
        <v>0</v>
      </c>
      <c r="N32" s="193">
        <f>IF(PodDop!L31&lt;PodDop!L32,1,0)</f>
        <v>0</v>
      </c>
      <c r="O32" s="193"/>
    </row>
    <row r="33" spans="1:15" ht="36.75" customHeight="1">
      <c r="A33" s="194" t="s">
        <v>2173</v>
      </c>
      <c r="B33" s="195" t="str">
        <f t="shared" si="3"/>
        <v>Ispravno</v>
      </c>
      <c r="C33" s="399" t="s">
        <v>2174</v>
      </c>
      <c r="D33" s="399"/>
      <c r="E33" s="399"/>
      <c r="F33" s="399"/>
      <c r="G33" s="399"/>
      <c r="H33" s="399"/>
      <c r="I33" s="399"/>
      <c r="J33" s="399"/>
      <c r="L33" s="193">
        <f t="shared" si="2"/>
        <v>0</v>
      </c>
      <c r="M33" s="193">
        <f>IF(PodDop!K33&lt;PodDop!K34,1,0)</f>
        <v>0</v>
      </c>
      <c r="N33" s="193">
        <f>IF(PodDop!L33&lt;PodDop!L34,1,0)</f>
        <v>0</v>
      </c>
      <c r="O33" s="193"/>
    </row>
    <row r="34" spans="1:15" ht="36.75" customHeight="1">
      <c r="A34" s="194" t="s">
        <v>2175</v>
      </c>
      <c r="B34" s="195" t="str">
        <f t="shared" si="3"/>
        <v>Ispravno</v>
      </c>
      <c r="C34" s="399" t="s">
        <v>2176</v>
      </c>
      <c r="D34" s="399"/>
      <c r="E34" s="399"/>
      <c r="F34" s="399"/>
      <c r="G34" s="399"/>
      <c r="H34" s="399"/>
      <c r="I34" s="399"/>
      <c r="J34" s="399"/>
      <c r="L34" s="193">
        <f t="shared" si="2"/>
        <v>0</v>
      </c>
      <c r="M34" s="193">
        <f>IF(PodDop!K35&lt;PodDop!K36,1,0)</f>
        <v>0</v>
      </c>
      <c r="N34" s="193">
        <f>IF(PodDop!L35&lt;PodDop!L36,1,0)</f>
        <v>0</v>
      </c>
      <c r="O34" s="193"/>
    </row>
    <row r="35" spans="1:15" ht="36.75" customHeight="1">
      <c r="A35" s="194" t="s">
        <v>2177</v>
      </c>
      <c r="B35" s="195" t="str">
        <f t="shared" si="3"/>
        <v>Ispravno</v>
      </c>
      <c r="C35" s="399" t="s">
        <v>2178</v>
      </c>
      <c r="D35" s="399"/>
      <c r="E35" s="399"/>
      <c r="F35" s="399"/>
      <c r="G35" s="399"/>
      <c r="H35" s="399"/>
      <c r="I35" s="399"/>
      <c r="J35" s="399"/>
      <c r="L35" s="193">
        <f t="shared" si="2"/>
        <v>0</v>
      </c>
      <c r="M35" s="193">
        <f>IF(PodDop!K37&lt;PodDop!K38,1,0)</f>
        <v>0</v>
      </c>
      <c r="N35" s="193">
        <f>IF(PodDop!L37&lt;PodDop!L38,1,0)</f>
        <v>0</v>
      </c>
      <c r="O35" s="193"/>
    </row>
    <row r="36" spans="1:15" ht="36.75" customHeight="1">
      <c r="A36" s="194" t="s">
        <v>2179</v>
      </c>
      <c r="B36" s="195" t="str">
        <f t="shared" si="3"/>
        <v>Ispravno</v>
      </c>
      <c r="C36" s="399" t="s">
        <v>2180</v>
      </c>
      <c r="D36" s="399"/>
      <c r="E36" s="399"/>
      <c r="F36" s="399"/>
      <c r="G36" s="399"/>
      <c r="H36" s="399"/>
      <c r="I36" s="399"/>
      <c r="J36" s="399"/>
      <c r="L36" s="193">
        <f t="shared" si="2"/>
        <v>0</v>
      </c>
      <c r="M36" s="193">
        <f>IF(PodDop!K39&lt;PodDop!K40,1,0)</f>
        <v>0</v>
      </c>
      <c r="N36" s="193">
        <f>IF(PodDop!L39&lt;PodDop!L40,1,0)</f>
        <v>0</v>
      </c>
      <c r="O36" s="193"/>
    </row>
    <row r="37" spans="1:15" ht="36.75" customHeight="1">
      <c r="A37" s="194" t="s">
        <v>2181</v>
      </c>
      <c r="B37" s="195" t="str">
        <f t="shared" si="3"/>
        <v>Ispravno</v>
      </c>
      <c r="C37" s="399" t="s">
        <v>2182</v>
      </c>
      <c r="D37" s="399"/>
      <c r="E37" s="399"/>
      <c r="F37" s="399"/>
      <c r="G37" s="399"/>
      <c r="H37" s="399"/>
      <c r="I37" s="399"/>
      <c r="J37" s="399"/>
      <c r="L37" s="193">
        <f t="shared" si="2"/>
        <v>0</v>
      </c>
      <c r="M37" s="193">
        <f>IF(PodDop!K41&lt;PodDop!K42,1,0)</f>
        <v>0</v>
      </c>
      <c r="N37" s="193">
        <f>IF(PodDop!L41&lt;PodDop!L42,1,0)</f>
        <v>0</v>
      </c>
      <c r="O37" s="193"/>
    </row>
    <row r="38" spans="1:15" ht="36.75" customHeight="1">
      <c r="A38" s="194" t="s">
        <v>2183</v>
      </c>
      <c r="B38" s="195" t="str">
        <f t="shared" si="3"/>
        <v>Ispravno</v>
      </c>
      <c r="C38" s="399" t="s">
        <v>2184</v>
      </c>
      <c r="D38" s="399"/>
      <c r="E38" s="399"/>
      <c r="F38" s="399"/>
      <c r="G38" s="399"/>
      <c r="H38" s="399"/>
      <c r="I38" s="399"/>
      <c r="J38" s="399"/>
      <c r="L38" s="193">
        <f t="shared" si="2"/>
        <v>0</v>
      </c>
      <c r="M38" s="193">
        <f>IF(PodDop!K43&lt;PodDop!K44,1,0)</f>
        <v>0</v>
      </c>
      <c r="N38" s="193">
        <f>IF(PodDop!L43&lt;PodDop!L44,1,0)</f>
        <v>0</v>
      </c>
      <c r="O38" s="193"/>
    </row>
    <row r="39" spans="1:15" ht="36.75" customHeight="1">
      <c r="A39" s="194" t="s">
        <v>2185</v>
      </c>
      <c r="B39" s="195" t="str">
        <f t="shared" si="3"/>
        <v>Ispravno</v>
      </c>
      <c r="C39" s="399" t="s">
        <v>2186</v>
      </c>
      <c r="D39" s="399"/>
      <c r="E39" s="399"/>
      <c r="F39" s="399"/>
      <c r="G39" s="399"/>
      <c r="H39" s="399"/>
      <c r="I39" s="399"/>
      <c r="J39" s="399"/>
      <c r="L39" s="193">
        <f t="shared" si="2"/>
        <v>0</v>
      </c>
      <c r="M39" s="193">
        <f>IF(PodDop!K70&gt;(Bilanca!K94+Bilanca!K95),1,0)</f>
        <v>0</v>
      </c>
      <c r="N39" s="193">
        <f>IF(PodDop!L70&gt;(Bilanca!L94+Bilanca!L95),1,0)</f>
        <v>0</v>
      </c>
      <c r="O39" s="193"/>
    </row>
    <row r="40" spans="1:15" ht="36.75" customHeight="1">
      <c r="A40" s="194" t="s">
        <v>2187</v>
      </c>
      <c r="B40" s="195" t="str">
        <f t="shared" si="3"/>
        <v>Ispravno</v>
      </c>
      <c r="C40" s="399" t="s">
        <v>2188</v>
      </c>
      <c r="D40" s="399"/>
      <c r="E40" s="399"/>
      <c r="F40" s="399"/>
      <c r="G40" s="399"/>
      <c r="H40" s="399"/>
      <c r="I40" s="399"/>
      <c r="J40" s="399"/>
      <c r="L40" s="193">
        <f>MAX(M40:P40)</f>
        <v>0</v>
      </c>
      <c r="M40" s="193">
        <f>IF(PodDop!K71&gt;(Bilanca!K104+Bilanca!K105),1,0)</f>
        <v>0</v>
      </c>
      <c r="N40" s="193">
        <f>IF(PodDop!L71&gt;(Bilanca!L104+Bilanca!L105),1,0)</f>
        <v>0</v>
      </c>
      <c r="O40" s="193"/>
    </row>
    <row r="41" spans="1:15" ht="36.75" customHeight="1">
      <c r="A41" s="194" t="s">
        <v>2189</v>
      </c>
      <c r="B41" s="195" t="str">
        <f t="shared" si="3"/>
        <v>Ispravno</v>
      </c>
      <c r="C41" s="399" t="s">
        <v>2190</v>
      </c>
      <c r="D41" s="399"/>
      <c r="E41" s="399"/>
      <c r="F41" s="399"/>
      <c r="G41" s="399"/>
      <c r="H41" s="399"/>
      <c r="I41" s="399"/>
      <c r="J41" s="399"/>
      <c r="L41" s="193">
        <f aca="true" t="shared" si="4" ref="L41:L49">MAX(M41:P41)</f>
        <v>0</v>
      </c>
      <c r="M41" s="193">
        <f>IF(PodDop!K83&gt;PodDop!K82,1,0)</f>
        <v>0</v>
      </c>
      <c r="N41" s="193">
        <f>IF(PodDop!L83&gt;PodDop!L82,1,0)</f>
        <v>0</v>
      </c>
      <c r="O41" s="193"/>
    </row>
    <row r="42" spans="1:15" ht="36.75" customHeight="1">
      <c r="A42" s="194" t="s">
        <v>2191</v>
      </c>
      <c r="B42" s="195" t="str">
        <f t="shared" si="3"/>
        <v>Ispravno</v>
      </c>
      <c r="C42" s="399" t="s">
        <v>2192</v>
      </c>
      <c r="D42" s="399"/>
      <c r="E42" s="399"/>
      <c r="F42" s="399"/>
      <c r="G42" s="399"/>
      <c r="H42" s="399"/>
      <c r="I42" s="399"/>
      <c r="J42" s="399"/>
      <c r="L42" s="193">
        <f t="shared" si="4"/>
        <v>0</v>
      </c>
      <c r="M42" s="193">
        <f>IF(PodDop!K86&gt;(PodDop!K84+PodDop!K85),1,0)</f>
        <v>0</v>
      </c>
      <c r="N42" s="193">
        <f>IF(PodDop!L86&gt;(PodDop!L84+PodDop!L85),1,0)</f>
        <v>0</v>
      </c>
      <c r="O42" s="193"/>
    </row>
    <row r="43" spans="1:22" ht="36.75" customHeight="1">
      <c r="A43" s="194" t="s">
        <v>2193</v>
      </c>
      <c r="B43" s="195" t="str">
        <f>IF(L43=0,"Ispravno","Nije ispravno")</f>
        <v>Ispravno</v>
      </c>
      <c r="C43" s="399" t="s">
        <v>2194</v>
      </c>
      <c r="D43" s="399"/>
      <c r="E43" s="399"/>
      <c r="F43" s="399"/>
      <c r="G43" s="399"/>
      <c r="H43" s="399"/>
      <c r="I43" s="399"/>
      <c r="J43" s="399"/>
      <c r="L43" s="193">
        <f t="shared" si="4"/>
        <v>0</v>
      </c>
      <c r="M43" s="193">
        <f>IF(AND((PodDop!K81+PodDop!K82+PodDop!K84+PodDop!K85+PodDop!K87+PodDop!K88+PodDop!K89+PodDop!K90)&lt;(RDG!K10-1),PodDop!Q1&lt;&gt;0),1,0)</f>
        <v>0</v>
      </c>
      <c r="N43" s="193">
        <f>IF(AND((PodDop!L81+PodDop!L82+PodDop!L84+PodDop!L85+PodDop!L87+PodDop!L88+PodDop!L89+PodDop!L90)&lt;(RDG!L10-1),PodDop!Q1&lt;&gt;0),1,0)</f>
        <v>0</v>
      </c>
      <c r="O43" s="193"/>
      <c r="Q43" s="197"/>
      <c r="R43" s="197"/>
      <c r="V43" s="200"/>
    </row>
    <row r="44" spans="1:15" ht="36.75" customHeight="1">
      <c r="A44" s="194" t="s">
        <v>2195</v>
      </c>
      <c r="B44" s="195" t="str">
        <f>IF(L44=0,"Ispravno","Nije ispravno")</f>
        <v>Ispravno</v>
      </c>
      <c r="C44" s="399" t="s">
        <v>2196</v>
      </c>
      <c r="D44" s="399"/>
      <c r="E44" s="399"/>
      <c r="F44" s="399"/>
      <c r="G44" s="399"/>
      <c r="H44" s="399"/>
      <c r="I44" s="399"/>
      <c r="J44" s="399"/>
      <c r="L44" s="193">
        <f t="shared" si="4"/>
        <v>0</v>
      </c>
      <c r="M44" s="193">
        <f>IF(PodDop!K93&gt;PodDop!K90,1,0)</f>
        <v>0</v>
      </c>
      <c r="N44" s="193">
        <f>IF(PodDop!L93&gt;PodDop!L90,1,0)</f>
        <v>0</v>
      </c>
      <c r="O44" s="193"/>
    </row>
    <row r="45" spans="1:15" ht="39.75" customHeight="1">
      <c r="A45" s="194" t="s">
        <v>2197</v>
      </c>
      <c r="B45" s="195" t="str">
        <f>IF(L45=0,"Ispravno","Nije ispravno")</f>
        <v>Ispravno</v>
      </c>
      <c r="C45" s="399" t="s">
        <v>2198</v>
      </c>
      <c r="D45" s="399"/>
      <c r="E45" s="399"/>
      <c r="F45" s="399"/>
      <c r="G45" s="399"/>
      <c r="H45" s="399"/>
      <c r="I45" s="399"/>
      <c r="J45" s="399"/>
      <c r="L45" s="193">
        <f t="shared" si="4"/>
        <v>0</v>
      </c>
      <c r="M45" s="193">
        <f>IF(AND(PodDop!$Q$1=1,(ABS(RDG!K10-PodDop!K97-PodDop!K98)&gt;1)),1,0)</f>
        <v>0</v>
      </c>
      <c r="N45" s="193">
        <f>IF(AND(PodDop!$Q$1=1,(ABS(RDG!L10-PodDop!L97-PodDop!L98)&gt;1)),1,0)</f>
        <v>0</v>
      </c>
      <c r="O45" s="193"/>
    </row>
    <row r="46" spans="1:15" ht="39" customHeight="1">
      <c r="A46" s="194" t="s">
        <v>2199</v>
      </c>
      <c r="B46" s="195" t="str">
        <f aca="true" t="shared" si="5" ref="B46:B54">IF(L46=0,"Ispravno","Nije ispravno")</f>
        <v>Ispravno</v>
      </c>
      <c r="C46" s="399" t="s">
        <v>2200</v>
      </c>
      <c r="D46" s="399"/>
      <c r="E46" s="399"/>
      <c r="F46" s="399"/>
      <c r="G46" s="399"/>
      <c r="H46" s="399"/>
      <c r="I46" s="399"/>
      <c r="J46" s="399"/>
      <c r="L46" s="193">
        <f t="shared" si="4"/>
        <v>0</v>
      </c>
      <c r="M46" s="201">
        <f>IF(MIN(Bilanca!K10:L70,Bilanca!K73:L73,Bilanca!K76:L80,Bilanca!K83:L84,Bilanca!K86:L87,Bilanca!K89:L118)&lt;0,1,0)</f>
        <v>0</v>
      </c>
      <c r="N46" s="193"/>
      <c r="O46" s="193"/>
    </row>
    <row r="47" spans="1:15" ht="39" customHeight="1">
      <c r="A47" s="194" t="s">
        <v>2201</v>
      </c>
      <c r="B47" s="195" t="str">
        <f>IF(L47=0,"Ispravno","Nije ispravno")</f>
        <v>Ispravno</v>
      </c>
      <c r="C47" s="399" t="s">
        <v>2202</v>
      </c>
      <c r="D47" s="399"/>
      <c r="E47" s="399"/>
      <c r="F47" s="399"/>
      <c r="G47" s="399"/>
      <c r="H47" s="399"/>
      <c r="I47" s="399"/>
      <c r="J47" s="399"/>
      <c r="L47" s="193">
        <f t="shared" si="4"/>
        <v>0</v>
      </c>
      <c r="M47" s="201">
        <f>IF(MIN(RDG!K9:L12,RDG!K14:L45,RDG!K47:L48,RDG!K51:L52)&lt;0,1,0)</f>
        <v>0</v>
      </c>
      <c r="N47" s="193"/>
      <c r="O47" s="193"/>
    </row>
    <row r="48" spans="1:15" ht="39" customHeight="1">
      <c r="A48" s="194" t="s">
        <v>2203</v>
      </c>
      <c r="B48" s="195" t="str">
        <f>IF(L48=0,"Ispravno","Nije ispravno")</f>
        <v>Ispravno</v>
      </c>
      <c r="C48" s="399" t="s">
        <v>2204</v>
      </c>
      <c r="D48" s="399"/>
      <c r="E48" s="399"/>
      <c r="F48" s="399"/>
      <c r="G48" s="399"/>
      <c r="H48" s="399"/>
      <c r="I48" s="399"/>
      <c r="J48" s="399"/>
      <c r="L48" s="193">
        <f>MAX(M48:P48)</f>
        <v>0</v>
      </c>
      <c r="M48" s="201">
        <f>IF(MIN(PodDop!K10:L144)&lt;0,1,0)</f>
        <v>0</v>
      </c>
      <c r="N48" s="193"/>
      <c r="O48" s="193"/>
    </row>
    <row r="49" spans="1:15" ht="39" customHeight="1">
      <c r="A49" s="194" t="s">
        <v>2205</v>
      </c>
      <c r="B49" s="195" t="str">
        <f t="shared" si="5"/>
        <v>Ispravno</v>
      </c>
      <c r="C49" s="399" t="s">
        <v>2206</v>
      </c>
      <c r="D49" s="399"/>
      <c r="E49" s="399"/>
      <c r="F49" s="399"/>
      <c r="G49" s="399"/>
      <c r="H49" s="399"/>
      <c r="I49" s="399"/>
      <c r="J49" s="399"/>
      <c r="L49" s="193">
        <f t="shared" si="4"/>
        <v>0</v>
      </c>
      <c r="M49" s="201">
        <f>IF(OR(Opci!C53&gt;30000,Opci!E53&gt;30000,Opci!C55&gt;30000,Opci!E55&gt;30000,PodDop!K136&gt;30000,PodDop!L136&gt;30000,PodDop!K137&gt;30000,PodDop!L137&gt;30000,PodDop!K138&gt;30000,PodDop!L138&gt;30000),1,0)</f>
        <v>0</v>
      </c>
      <c r="N49" s="193"/>
      <c r="O49" s="193"/>
    </row>
    <row r="50" spans="1:15" ht="39" customHeight="1">
      <c r="A50" s="194" t="s">
        <v>2207</v>
      </c>
      <c r="B50" s="195" t="str">
        <f t="shared" si="5"/>
        <v>Ispravno</v>
      </c>
      <c r="C50" s="399" t="s">
        <v>2208</v>
      </c>
      <c r="D50" s="399"/>
      <c r="E50" s="399"/>
      <c r="F50" s="399"/>
      <c r="G50" s="399"/>
      <c r="H50" s="399"/>
      <c r="I50" s="399"/>
      <c r="J50" s="399"/>
      <c r="L50" s="201">
        <f>MAX(M50:N50)</f>
        <v>0</v>
      </c>
      <c r="M50" s="201">
        <f>IF(PodDop!K116&gt;PodDop!K115,1,0)</f>
        <v>0</v>
      </c>
      <c r="N50" s="201">
        <f>IF(PodDop!L116&gt;PodDop!L115,1,0)</f>
        <v>0</v>
      </c>
      <c r="O50" s="193"/>
    </row>
    <row r="51" spans="1:15" ht="39" customHeight="1">
      <c r="A51" s="194" t="s">
        <v>2209</v>
      </c>
      <c r="B51" s="195" t="str">
        <f t="shared" si="5"/>
        <v>Ispravno</v>
      </c>
      <c r="C51" s="399" t="s">
        <v>2210</v>
      </c>
      <c r="D51" s="399"/>
      <c r="E51" s="399"/>
      <c r="F51" s="399"/>
      <c r="G51" s="399"/>
      <c r="H51" s="399"/>
      <c r="I51" s="399"/>
      <c r="J51" s="399"/>
      <c r="L51" s="201">
        <f>MAX(M51:N51)</f>
        <v>0</v>
      </c>
      <c r="M51" s="201">
        <f>IF(PodDop!K137&gt;PodDop!K136,1,0)</f>
        <v>0</v>
      </c>
      <c r="N51" s="201">
        <f>IF(PodDop!L137&gt;PodDop!L136,1,0)</f>
        <v>0</v>
      </c>
      <c r="O51" s="193"/>
    </row>
    <row r="52" spans="1:15" ht="39" customHeight="1">
      <c r="A52" s="194" t="s">
        <v>2211</v>
      </c>
      <c r="B52" s="195" t="str">
        <f t="shared" si="5"/>
        <v>Ispravno</v>
      </c>
      <c r="C52" s="399" t="s">
        <v>2212</v>
      </c>
      <c r="D52" s="399"/>
      <c r="E52" s="399"/>
      <c r="F52" s="399"/>
      <c r="G52" s="399"/>
      <c r="H52" s="399"/>
      <c r="I52" s="399"/>
      <c r="J52" s="399"/>
      <c r="L52" s="201">
        <f>MAX(M52:N52)</f>
        <v>0</v>
      </c>
      <c r="M52" s="201">
        <f>IF(PodDop!K138&gt;PodDop!K137,1,0)</f>
        <v>0</v>
      </c>
      <c r="N52" s="201">
        <f>IF(PodDop!L138&gt;PodDop!L137,1,0)</f>
        <v>0</v>
      </c>
      <c r="O52" s="193"/>
    </row>
    <row r="53" spans="1:15" ht="75" customHeight="1">
      <c r="A53" s="194" t="s">
        <v>2213</v>
      </c>
      <c r="B53" s="195" t="str">
        <f>IF(L53=0,"Ispravno","Nije ispravno")</f>
        <v>Ispravno</v>
      </c>
      <c r="C53" s="399" t="s">
        <v>2214</v>
      </c>
      <c r="D53" s="399"/>
      <c r="E53" s="399"/>
      <c r="F53" s="399"/>
      <c r="G53" s="399"/>
      <c r="H53" s="399"/>
      <c r="I53" s="399"/>
      <c r="J53" s="399"/>
      <c r="L53" s="201">
        <f>MAX(M53:N53)</f>
        <v>0</v>
      </c>
      <c r="M53" s="201">
        <f>IF(MID(O53,2,1)&lt;&gt;".",1,0)</f>
        <v>0</v>
      </c>
      <c r="N53" s="201">
        <f>IF(MID(O53,6,1)&lt;&gt;",",1,0)</f>
        <v>0</v>
      </c>
      <c r="O53" s="193" t="str">
        <f>TEXT(1000.1,"#.000,00")</f>
        <v>1.000,10</v>
      </c>
    </row>
    <row r="54" spans="1:15" ht="39" customHeight="1">
      <c r="A54" s="194" t="s">
        <v>2215</v>
      </c>
      <c r="B54" s="195" t="str">
        <f t="shared" si="5"/>
        <v>Ispravno</v>
      </c>
      <c r="C54" s="399" t="s">
        <v>2216</v>
      </c>
      <c r="D54" s="399"/>
      <c r="E54" s="399"/>
      <c r="F54" s="399"/>
      <c r="G54" s="399"/>
      <c r="H54" s="399"/>
      <c r="I54" s="399"/>
      <c r="J54" s="399"/>
      <c r="L54" s="201">
        <f>MAX(M54:N54)</f>
        <v>0</v>
      </c>
      <c r="M54" s="201">
        <f>IF(AND(Opci!C57&gt;0,Opci!C45&lt;&gt;2,PodDop!K142=0),1,0)</f>
        <v>0</v>
      </c>
      <c r="N54" s="201">
        <f>IF(AND(Opci!E57&gt;0,Opci!C45&lt;&gt;2,PodDop!L142=0),1,0)</f>
        <v>0</v>
      </c>
      <c r="O54" s="193"/>
    </row>
    <row r="55" spans="1:23" ht="40.5" customHeight="1">
      <c r="A55" s="194" t="s">
        <v>2217</v>
      </c>
      <c r="B55" s="195" t="str">
        <f>IF(L55=0,"Ispravno","Nije ispravno")</f>
        <v>Ispravno</v>
      </c>
      <c r="C55" s="401"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401"/>
      <c r="E55" s="401"/>
      <c r="F55" s="401"/>
      <c r="G55" s="401"/>
      <c r="H55" s="401"/>
      <c r="I55" s="401"/>
      <c r="J55" s="401"/>
      <c r="L55" s="193">
        <f>IF(Opci!C47=M55,0,1)</f>
        <v>0</v>
      </c>
      <c r="M55" s="202">
        <f>1+N55+O55</f>
        <v>1</v>
      </c>
      <c r="N55" s="203">
        <f>IF(Q55+R55+S55&gt;1,1,0)</f>
        <v>0</v>
      </c>
      <c r="O55" s="204">
        <f>IF(U55+V55+W55&gt;1,1,0)</f>
        <v>0</v>
      </c>
      <c r="P55" s="205" t="s">
        <v>2218</v>
      </c>
      <c r="Q55" s="206">
        <f>IF(Bilanca!K69&gt;32500000,1,0)</f>
        <v>0</v>
      </c>
      <c r="R55" s="206">
        <f>IF(RDG!K44&gt;65000000,1,0)</f>
        <v>0</v>
      </c>
      <c r="S55" s="207">
        <f>IF(Opci!C53&gt;50,1,0)</f>
        <v>0</v>
      </c>
      <c r="T55" s="208" t="s">
        <v>2219</v>
      </c>
      <c r="U55" s="209">
        <f>IF(Bilanca!K69&gt;130000000,1,0)</f>
        <v>0</v>
      </c>
      <c r="V55" s="209">
        <f>IF(RDG!K44&gt;260000000,1,0)</f>
        <v>0</v>
      </c>
      <c r="W55" s="210">
        <f>IF(Opci!C53&gt;250,1,0)</f>
        <v>0</v>
      </c>
    </row>
    <row r="56" spans="1:36" ht="19.5" customHeight="1">
      <c r="A56" s="397" t="s">
        <v>2220</v>
      </c>
      <c r="B56" s="397"/>
      <c r="C56" s="397"/>
      <c r="D56" s="397"/>
      <c r="E56" s="397"/>
      <c r="F56" s="397"/>
      <c r="G56" s="397"/>
      <c r="H56" s="397"/>
      <c r="I56" s="397"/>
      <c r="J56" s="397"/>
      <c r="L56" s="193"/>
      <c r="M56" s="193" t="s">
        <v>276</v>
      </c>
      <c r="N56" s="193" t="s">
        <v>277</v>
      </c>
      <c r="O56" s="193" t="s">
        <v>278</v>
      </c>
      <c r="P56" t="s">
        <v>279</v>
      </c>
      <c r="Q56" t="s">
        <v>36</v>
      </c>
      <c r="R56" t="s">
        <v>37</v>
      </c>
      <c r="S56" t="s">
        <v>280</v>
      </c>
      <c r="T56" t="s">
        <v>281</v>
      </c>
      <c r="U56" t="s">
        <v>282</v>
      </c>
      <c r="V56" t="s">
        <v>283</v>
      </c>
      <c r="W56" t="s">
        <v>284</v>
      </c>
      <c r="X56" t="s">
        <v>2221</v>
      </c>
      <c r="Y56" t="s">
        <v>285</v>
      </c>
      <c r="Z56" t="s">
        <v>286</v>
      </c>
      <c r="AA56" t="s">
        <v>287</v>
      </c>
      <c r="AB56" t="s">
        <v>288</v>
      </c>
      <c r="AC56" t="s">
        <v>2222</v>
      </c>
      <c r="AD56" t="s">
        <v>289</v>
      </c>
      <c r="AE56" t="s">
        <v>290</v>
      </c>
      <c r="AF56" t="s">
        <v>291</v>
      </c>
      <c r="AG56" t="s">
        <v>292</v>
      </c>
      <c r="AH56" t="s">
        <v>293</v>
      </c>
      <c r="AI56" t="s">
        <v>2223</v>
      </c>
      <c r="AJ56" t="s">
        <v>294</v>
      </c>
    </row>
    <row r="57" spans="1:36" ht="106.5" customHeight="1">
      <c r="A57" s="194" t="s">
        <v>2065</v>
      </c>
      <c r="B57" s="195" t="str">
        <f aca="true" t="shared" si="6" ref="B57:B75">IF(L57=0,"Ispravno","Nije ispravno")</f>
        <v>Ispravno</v>
      </c>
      <c r="C57" s="398" t="s">
        <v>2224</v>
      </c>
      <c r="D57" s="398"/>
      <c r="E57" s="398"/>
      <c r="F57" s="398"/>
      <c r="G57" s="398"/>
      <c r="H57" s="398"/>
      <c r="I57" s="398"/>
      <c r="J57" s="398"/>
      <c r="L57" s="193">
        <f>IF(SUM(M57:AJ57)&gt;0,1,0)</f>
        <v>0</v>
      </c>
      <c r="M57" s="193" t="str">
        <f>IF(Opci!E5="",1,"0")</f>
        <v>0</v>
      </c>
      <c r="N57" s="193" t="str">
        <f>IF(Opci!H5="",1,"0")</f>
        <v>0</v>
      </c>
      <c r="O57" s="193" t="str">
        <f>IF(Opci!C17="",1,"0")</f>
        <v>0</v>
      </c>
      <c r="P57" s="47" t="str">
        <f>IF(OR(AND(Opci!C19="",Opci!E9&lt;&gt;15),AND(Opci!C19&lt;&gt;"",Opci!E9=15)),1,"0")</f>
        <v>0</v>
      </c>
      <c r="Q57" s="47">
        <f>IF(AND(Opci!E9&lt;12,Opci!C21=""),1,0)</f>
        <v>0</v>
      </c>
      <c r="R57" s="47">
        <f>IF(INT(VALUE(Opci!C23))&lt;100,1,0)</f>
        <v>0</v>
      </c>
      <c r="S57" s="47" t="str">
        <f>IF(Opci!C25="",1,"0")</f>
        <v>0</v>
      </c>
      <c r="T57" s="47" t="str">
        <f>IF(Opci!C27="",1,"0")</f>
        <v>0</v>
      </c>
      <c r="U57" s="47" t="str">
        <f>IF(Opci!F27="",1,"0")</f>
        <v>0</v>
      </c>
      <c r="V57" s="47" t="str">
        <f>IF(Opci!C29="",1,"0")</f>
        <v>0</v>
      </c>
      <c r="W57" s="47" t="str">
        <f>IF(Opci!C35="",1,"0")</f>
        <v>0</v>
      </c>
      <c r="X57" s="47" t="str">
        <f>IF(Opci!C37="",1,"0")</f>
        <v>0</v>
      </c>
      <c r="Y57" s="47" t="str">
        <f>IF(OR(Opci!C39="",AND(Opci!C39="0000",Opci!E9&lt;&gt;15),AND(Opci!C39&lt;&gt;"0000",Opci!E9=15)),1,"0")</f>
        <v>0</v>
      </c>
      <c r="Z57" s="47" t="str">
        <f>IF(Opci!C41="",1,"0")</f>
        <v>0</v>
      </c>
      <c r="AA57" s="47" t="str">
        <f>IF(Opci!C43="",1,"0")</f>
        <v>0</v>
      </c>
      <c r="AB57" s="47" t="str">
        <f>IF(Opci!C45="",1,"0")</f>
        <v>0</v>
      </c>
      <c r="AC57" s="47">
        <f>IF(Opci!E9="",1,0)</f>
        <v>0</v>
      </c>
      <c r="AD57" s="47" t="str">
        <f>IF(Opci!C47="",1,"0")</f>
        <v>0</v>
      </c>
      <c r="AE57" s="47" t="str">
        <f>IF(Opci!C49="",1,"0")</f>
        <v>0</v>
      </c>
      <c r="AF57" s="47">
        <f>IF(Opci!C51+Opci!E51&lt;&gt;100,1,0)</f>
        <v>0</v>
      </c>
      <c r="AG57" s="47">
        <f>IF(OR(Opci!C53="",Opci!E53="",Opci!C55="",Opci!E55=""),1,0)</f>
        <v>0</v>
      </c>
      <c r="AH57" s="47">
        <f>IF(OR(Opci!C57="",Opci!E57=""),1,0)</f>
        <v>0</v>
      </c>
      <c r="AI57" s="47">
        <f>IF(Opci!C65="",1,0)</f>
        <v>0</v>
      </c>
      <c r="AJ57" s="47">
        <f>IF(Opci!C71="",1,0)</f>
        <v>0</v>
      </c>
    </row>
    <row r="58" spans="1:61" ht="64.5" customHeight="1">
      <c r="A58" s="194" t="s">
        <v>2066</v>
      </c>
      <c r="B58" s="195" t="str">
        <f>IF(L58=0,"Ispravno","Nije ispravno")</f>
        <v>Ispravno</v>
      </c>
      <c r="C58" s="402" t="s">
        <v>2225</v>
      </c>
      <c r="D58" s="402"/>
      <c r="E58" s="402"/>
      <c r="F58" s="402"/>
      <c r="G58" s="402"/>
      <c r="H58" s="402"/>
      <c r="I58" s="402"/>
      <c r="J58" s="402"/>
      <c r="L58" s="193">
        <f>IF(SUM(M58:O58)&gt;0,1,0)</f>
        <v>0</v>
      </c>
      <c r="M58" s="193">
        <f>IF(AND(Opci!C19=Opci!C63,Opci!C19&lt;&gt;""),1,0)</f>
        <v>0</v>
      </c>
      <c r="N58" s="193">
        <f>IF(AND(Opci!C63="",Opci!F63&lt;&gt;""),1,0)</f>
        <v>0</v>
      </c>
      <c r="O58" s="47">
        <f>IF(AND(Opci!C63&lt;&gt;"",Opci!F63=""),1,0)</f>
        <v>0</v>
      </c>
      <c r="Q58" t="s">
        <v>2226</v>
      </c>
      <c r="S58" t="s">
        <v>2227</v>
      </c>
      <c r="U58" s="211" t="s">
        <v>2228</v>
      </c>
      <c r="W58" s="211" t="s">
        <v>2229</v>
      </c>
      <c r="Y58" s="211" t="s">
        <v>2230</v>
      </c>
      <c r="AA58" s="211" t="s">
        <v>2231</v>
      </c>
      <c r="AC58" s="211" t="s">
        <v>2232</v>
      </c>
      <c r="AE58" s="211" t="s">
        <v>2233</v>
      </c>
      <c r="AG58" s="211" t="s">
        <v>2234</v>
      </c>
      <c r="AI58" s="211" t="s">
        <v>2235</v>
      </c>
      <c r="AK58" s="211" t="s">
        <v>2236</v>
      </c>
      <c r="AM58" s="211" t="s">
        <v>2237</v>
      </c>
      <c r="AO58" s="211" t="s">
        <v>2238</v>
      </c>
      <c r="AQ58" s="211" t="s">
        <v>2239</v>
      </c>
      <c r="AS58" s="211" t="s">
        <v>2240</v>
      </c>
      <c r="AU58" s="211" t="s">
        <v>2241</v>
      </c>
      <c r="AW58" s="211" t="s">
        <v>2242</v>
      </c>
      <c r="AY58" s="211" t="s">
        <v>2243</v>
      </c>
      <c r="BA58" s="211" t="s">
        <v>2244</v>
      </c>
      <c r="BC58" s="211" t="s">
        <v>2245</v>
      </c>
      <c r="BE58" s="211" t="s">
        <v>2246</v>
      </c>
      <c r="BG58" s="212" t="s">
        <v>2247</v>
      </c>
      <c r="BI58" s="213" t="s">
        <v>2248</v>
      </c>
    </row>
    <row r="59" spans="1:62" ht="87" customHeight="1">
      <c r="A59" s="194" t="s">
        <v>2067</v>
      </c>
      <c r="B59" s="195" t="str">
        <f>IF(L59=0,"Ispravno","Nije ispravno")</f>
        <v>Ispravno</v>
      </c>
      <c r="C59" s="402" t="s">
        <v>2249</v>
      </c>
      <c r="D59" s="402"/>
      <c r="E59" s="402"/>
      <c r="F59" s="402"/>
      <c r="G59" s="402"/>
      <c r="H59" s="402"/>
      <c r="I59" s="402"/>
      <c r="J59" s="402"/>
      <c r="L59" s="193">
        <f>IF(SUM(O59:BJ59)&gt;0,1,0)</f>
        <v>0</v>
      </c>
      <c r="M59" s="214" t="str">
        <f>UPPER(TRIM(Opci!C31))</f>
        <v>STAMBENO.KOMUNALNO.GOSPODARSTVO@KA.T-COM.HR</v>
      </c>
      <c r="N59" s="215" t="str">
        <f>UPPER(TRIM(Opci!C69))</f>
        <v>VESNA.CINDRIC@SKG-OGULIN.HR</v>
      </c>
      <c r="O59" s="214">
        <f>IF(AND(LEN(M59)&gt;0,LEN(M59)&lt;6),1,0)</f>
        <v>0</v>
      </c>
      <c r="P59" s="215">
        <f>IF(AND(LEN(N59)&gt;0,LEN(N59)&lt;6),1,0)</f>
        <v>0</v>
      </c>
      <c r="Q59" s="214">
        <f>IF(AND(M59&lt;&gt;"",ISERROR(FIND("@",M59,1))),1,0)</f>
        <v>0</v>
      </c>
      <c r="R59" s="215">
        <f>IF(AND(N59&lt;&gt;"",ISERROR(FIND("@",N59,1))),1,0)</f>
        <v>0</v>
      </c>
      <c r="S59" s="214">
        <f>IF(AND(M59&lt;&gt;"",ISERROR(FIND(".",M59,1))),1,0)</f>
        <v>0</v>
      </c>
      <c r="T59" s="215">
        <f>IF(AND(N59&lt;&gt;"",ISERROR(FIND(".",N59,1))),1,0)</f>
        <v>0</v>
      </c>
      <c r="U59" s="214">
        <f>IF(ISERROR(FIND("Č",M59,1)),0,1)</f>
        <v>0</v>
      </c>
      <c r="V59" s="215">
        <f>IF(ISERROR(FIND("Č",N59,1)),0,1)</f>
        <v>0</v>
      </c>
      <c r="W59" s="214">
        <f>IF(ISERROR(FIND("Ć",M59,1)),0,1)</f>
        <v>0</v>
      </c>
      <c r="X59" s="215">
        <f>IF(ISERROR(FIND("Ć",N59,1)),0,1)</f>
        <v>0</v>
      </c>
      <c r="Y59" s="214">
        <f>IF(ISERROR(FIND("Š",M59,1)),0,1)</f>
        <v>0</v>
      </c>
      <c r="Z59" s="215">
        <f>IF(ISERROR(FIND("Š",N59,1)),0,1)</f>
        <v>0</v>
      </c>
      <c r="AA59" s="214">
        <f>IF(ISERROR(FIND("Ž",M59,1)),0,1)</f>
        <v>0</v>
      </c>
      <c r="AB59" s="215">
        <f>IF(ISERROR(FIND("Ž",N59,1)),0,1)</f>
        <v>0</v>
      </c>
      <c r="AC59" s="214">
        <f>IF(ISERROR(FIND("Đ",M59,1)),0,1)</f>
        <v>0</v>
      </c>
      <c r="AD59" s="215">
        <f>IF(ISERROR(FIND("Đ",N59,1)),0,1)</f>
        <v>0</v>
      </c>
      <c r="AE59" s="47">
        <f>IF(ISERROR(FIND("""",M59,1)),0,1)</f>
        <v>0</v>
      </c>
      <c r="AF59" s="47">
        <f>IF(ISERROR(FIND("""",N59,1)),0,1)</f>
        <v>0</v>
      </c>
      <c r="AG59" s="47">
        <f>IF(ISERROR(FIND(",",M59,1)),0,1)</f>
        <v>0</v>
      </c>
      <c r="AH59" s="47">
        <f>IF(ISERROR(FIND(",",N59,1)),0,1)</f>
        <v>0</v>
      </c>
      <c r="AI59" s="47">
        <f>IF(ISERROR(FIND(";",M59,1)),0,1)</f>
        <v>0</v>
      </c>
      <c r="AJ59" s="47">
        <f>IF(ISERROR(FIND(";",N59,1)),0,1)</f>
        <v>0</v>
      </c>
      <c r="AK59" s="47">
        <f>IF(ISERROR(FIND(":",$M59,1)),0,1)</f>
        <v>0</v>
      </c>
      <c r="AL59" s="47">
        <f>IF(ISERROR(FIND(":",$N59,1)),0,1)</f>
        <v>0</v>
      </c>
      <c r="AM59" s="47">
        <f>IF(ISERROR(FIND("?",$M59,1)),0,1)</f>
        <v>0</v>
      </c>
      <c r="AN59" s="47">
        <f>IF(ISERROR(FIND("?",$N59,1)),0,1)</f>
        <v>0</v>
      </c>
      <c r="AO59" s="47">
        <f>IF(ISERROR(FIND("!",$M59,1)),0,1)</f>
        <v>0</v>
      </c>
      <c r="AP59" s="47">
        <f>IF(ISERROR(FIND("!",$N59,1)),0,1)</f>
        <v>0</v>
      </c>
      <c r="AQ59" s="47">
        <f>IF(ISERROR(FIND("#",$M59,1)),0,1)</f>
        <v>0</v>
      </c>
      <c r="AR59" s="47">
        <f>IF(ISERROR(FIND("#",$N59,1)),0,1)</f>
        <v>0</v>
      </c>
      <c r="AS59" s="47">
        <f>IF(ISERROR(FIND("$",$M59,1)),0,1)</f>
        <v>0</v>
      </c>
      <c r="AT59" s="47">
        <f>IF(ISERROR(FIND("$",$N59,1)),0,1)</f>
        <v>0</v>
      </c>
      <c r="AU59" s="47">
        <f>IF(ISERROR(FIND("%",$M59,1)),0,1)</f>
        <v>0</v>
      </c>
      <c r="AV59" s="47">
        <f>IF(ISERROR(FIND("%",$N59,1)),0,1)</f>
        <v>0</v>
      </c>
      <c r="AW59" s="47">
        <f>IF(ISERROR(FIND("&amp;",$M59,1)),0,1)</f>
        <v>0</v>
      </c>
      <c r="AX59" s="47">
        <f>IF(ISERROR(FIND("&amp;",$N59,1)),0,1)</f>
        <v>0</v>
      </c>
      <c r="AY59" s="47">
        <f>IF(ISERROR(FIND("/",$M59,1)),0,1)</f>
        <v>0</v>
      </c>
      <c r="AZ59" s="47">
        <f>IF(ISERROR(FIND("/",$N59,1)),0,1)</f>
        <v>0</v>
      </c>
      <c r="BA59" s="47">
        <f>IF(ISERROR(FIND("=",$M59,1)),0,1)</f>
        <v>0</v>
      </c>
      <c r="BB59" s="47">
        <f>IF(ISERROR(FIND("=",$N59,1)),0,1)</f>
        <v>0</v>
      </c>
      <c r="BC59" s="47">
        <f>IF(ISERROR(FIND("(",$M59,1)),0,1)</f>
        <v>0</v>
      </c>
      <c r="BD59" s="47">
        <f>IF(ISERROR(FIND("(",$N59,1)),0,1)</f>
        <v>0</v>
      </c>
      <c r="BE59" s="47">
        <f>IF(ISERROR(FIND(")",$M59,1)),0,1)</f>
        <v>0</v>
      </c>
      <c r="BF59" s="47">
        <f>IF(ISERROR(FIND(")",$N59,1)),0,1)</f>
        <v>0</v>
      </c>
      <c r="BG59" s="47">
        <f>IF(ISERROR(FIND(" ",$M59,1)),0,1)</f>
        <v>0</v>
      </c>
      <c r="BH59" s="47">
        <f>IF(ISERROR(FIND(" ",$N59,1)),0,1)</f>
        <v>0</v>
      </c>
      <c r="BI59" s="47">
        <f>IF(RIGHT(M59,1)=".",1,0)</f>
        <v>0</v>
      </c>
      <c r="BJ59" s="47">
        <f>IF(RIGHT(N59,1)=".",1,0)</f>
        <v>0</v>
      </c>
    </row>
    <row r="60" spans="1:18" ht="49.5" customHeight="1">
      <c r="A60" s="194" t="s">
        <v>2068</v>
      </c>
      <c r="B60" s="195" t="str">
        <f t="shared" si="6"/>
        <v>Ispravno</v>
      </c>
      <c r="C60" s="402" t="s">
        <v>2250</v>
      </c>
      <c r="D60" s="402"/>
      <c r="E60" s="402"/>
      <c r="F60" s="402"/>
      <c r="G60" s="402"/>
      <c r="H60" s="402"/>
      <c r="I60" s="402"/>
      <c r="J60" s="402"/>
      <c r="L60" s="193">
        <f>IF(SUM(M60:R60)&gt;0,1,0)</f>
        <v>0</v>
      </c>
      <c r="M60" s="193">
        <f>IF(AND(Opci!C17=32,RDG!Q1&gt;0),1,0)</f>
        <v>0</v>
      </c>
      <c r="N60" s="193">
        <f>IF(AND(Opci!C17&lt;&gt;32,RDG!Q1*Bilanca!Q1=0),1,0)</f>
        <v>0</v>
      </c>
      <c r="O60" s="193">
        <f>IF(AND(Opci!C17&lt;&gt;32,Bilanca!Q2&lt;&gt;0,RDG!Q2=0),1,0)</f>
        <v>0</v>
      </c>
      <c r="P60" s="47">
        <f>IF(AND(Opci!C17&lt;&gt;32,Bilanca!Q2=0,RDG!Q2&lt;&gt;0),1,0)</f>
        <v>0</v>
      </c>
      <c r="Q60" s="47">
        <f>IF(AND(Opci!C17&lt;&gt;32,Bilanca!Q3&lt;&gt;0,RDG!Q3=0),1,0)</f>
        <v>0</v>
      </c>
      <c r="R60" s="47">
        <f>IF(AND(Opci!C17&lt;&gt;32,Bilanca!Q3=0,RDG!Q3&lt;&gt;0),1,0)</f>
        <v>0</v>
      </c>
    </row>
    <row r="61" spans="1:19" ht="60" customHeight="1">
      <c r="A61" s="194" t="s">
        <v>2069</v>
      </c>
      <c r="B61" s="195" t="str">
        <f t="shared" si="6"/>
        <v>Ispravno</v>
      </c>
      <c r="C61" s="399" t="s">
        <v>2251</v>
      </c>
      <c r="D61" s="399"/>
      <c r="E61" s="399"/>
      <c r="F61" s="399"/>
      <c r="G61" s="399"/>
      <c r="H61" s="399"/>
      <c r="I61" s="399"/>
      <c r="J61" s="399"/>
      <c r="L61" s="193">
        <f>IF(SUM(M61:S61)&gt;0,1,0)</f>
        <v>0</v>
      </c>
      <c r="M61" s="193">
        <f>IF(AND(Opci!C45&lt;&gt;2,PodDop!Q1=0),1,0)</f>
        <v>0</v>
      </c>
      <c r="N61" s="193">
        <f>IF(AND(Opci!C45=2,PodDop!Q1&gt;0),1,0)</f>
        <v>0</v>
      </c>
      <c r="O61" s="193">
        <f>IF(AND(Opci!C45&lt;&gt;2,Opci!C17&lt;&gt;10,Opci!C17&lt;&gt;11,Opci!C17&lt;&gt;20,Opci!C17&lt;&gt;30),1,0)</f>
        <v>0</v>
      </c>
      <c r="P61" s="47">
        <f>IF(AND(PodDop!Q2&lt;&gt;0,Bilanca!Q2=0),1,0)</f>
        <v>0</v>
      </c>
      <c r="Q61" s="47">
        <f>IF(AND(PodDop!Q2=0,PodDop!Q1&lt;&gt;0,Bilanca!Q2&lt;&gt;0),1,0)</f>
        <v>0</v>
      </c>
      <c r="R61" s="47">
        <f>IF(AND(PodDop!Q3&lt;&gt;0,Bilanca!Q3=0),1,0)</f>
        <v>0</v>
      </c>
      <c r="S61" s="47">
        <f>IF(AND(PodDop!Q3=0,PodDop!Q1&lt;&gt;0,Bilanca!Q3&lt;&gt;0),1,0)</f>
        <v>0</v>
      </c>
    </row>
    <row r="62" spans="1:14" ht="63.75" customHeight="1">
      <c r="A62" s="194" t="s">
        <v>2070</v>
      </c>
      <c r="B62" s="195" t="str">
        <f t="shared" si="6"/>
        <v>Ispravno</v>
      </c>
      <c r="C62" s="402" t="s">
        <v>2252</v>
      </c>
      <c r="D62" s="402"/>
      <c r="E62" s="402"/>
      <c r="F62" s="402"/>
      <c r="G62" s="402"/>
      <c r="H62" s="402"/>
      <c r="I62" s="402"/>
      <c r="J62" s="402"/>
      <c r="L62" s="193">
        <f>IF(SUM(M62:N62)&gt;0,1,0)</f>
        <v>0</v>
      </c>
      <c r="M62" s="193">
        <f>IF(AND(Opci!C45=1,Opci!H43&lt;&gt;"NE"),1,0)</f>
        <v>0</v>
      </c>
      <c r="N62" s="193">
        <f>IF(AND(Opci!C45&gt;1,Opci!H43&lt;&gt;"DA"),1,0)</f>
        <v>0</v>
      </c>
    </row>
    <row r="63" spans="1:20" ht="95.25" customHeight="1">
      <c r="A63" s="194" t="s">
        <v>2071</v>
      </c>
      <c r="B63" s="195" t="str">
        <f t="shared" si="6"/>
        <v>Ispravno</v>
      </c>
      <c r="C63" s="402" t="s">
        <v>2253</v>
      </c>
      <c r="D63" s="402"/>
      <c r="E63" s="402"/>
      <c r="F63" s="402"/>
      <c r="G63" s="402"/>
      <c r="H63" s="402"/>
      <c r="I63" s="402"/>
      <c r="J63" s="402"/>
      <c r="L63" s="193">
        <f>IF(SUM(M63:R63)&gt;0,1,0)</f>
        <v>0</v>
      </c>
      <c r="M63" s="193">
        <f>IF(AND(Opci!C45&lt;2,NT_I!Q1+NT_D!Q2&lt;&gt;0),1,0)</f>
        <v>0</v>
      </c>
      <c r="N63" s="193">
        <f>IF(AND(Opci!C47=1,Opci!C41&lt;&gt;"DA",NT_I!Q1+NT_D!Q2&lt;&gt;0),1,0)</f>
        <v>0</v>
      </c>
      <c r="O63" s="193">
        <f>IF(AND(Opci!C47&gt;1,Opci!C45&gt;1,Opci!C17&lt;&gt;32,NT_I!Q3+NT_D!Q3=0),1,0)</f>
        <v>0</v>
      </c>
      <c r="P63" s="47">
        <f>IF(AND(NT_I!Q1&lt;&gt;0,NT_D!Q1&lt;&gt;0),1,0)</f>
        <v>0</v>
      </c>
      <c r="Q63" s="47">
        <f>IF(AND(Opci!C17=32,NT_I!Q1+NT_D!Q2&gt;0),1,0)</f>
        <v>0</v>
      </c>
      <c r="R63" s="47">
        <f>IF(AND(Opci!C41="DA",Opci!H45="NE"),1,0)</f>
        <v>0</v>
      </c>
      <c r="S63" s="47">
        <f>IF(AND(Bilanca!Q2=0,NT_D!Q2+NT_I!Q2&lt;&gt;0),1,0)</f>
        <v>0</v>
      </c>
      <c r="T63" s="47">
        <f>IF(AND(Opci!C47&gt;1,Opci!C45&gt;1,Opci!C17&lt;&gt;32,NT_I!Q2+NT_D!Q2=0,Bilanca!Q2&lt;&gt;0),1,0)</f>
        <v>0</v>
      </c>
    </row>
    <row r="64" spans="1:21" ht="64.5" customHeight="1">
      <c r="A64" s="194" t="s">
        <v>2072</v>
      </c>
      <c r="B64" s="195" t="str">
        <f t="shared" si="6"/>
        <v>Ispravno</v>
      </c>
      <c r="C64" s="402" t="s">
        <v>2254</v>
      </c>
      <c r="D64" s="402"/>
      <c r="E64" s="402"/>
      <c r="F64" s="402"/>
      <c r="G64" s="402"/>
      <c r="H64" s="402"/>
      <c r="I64" s="402"/>
      <c r="J64" s="402"/>
      <c r="L64" s="193">
        <f>IF(SUM(M64:N64)&gt;0,1,0)</f>
        <v>0</v>
      </c>
      <c r="M64" s="193">
        <f>IF(AND(Opci!C45&gt;1,Opci!C17&lt;&gt;32,OR(Opci!C47&gt;1,Opci!C41="DA"),Opci!H47&lt;&gt;"DA"),1,0)</f>
        <v>0</v>
      </c>
      <c r="N64" s="193">
        <f>IF(AND(Opci!H47&lt;&gt;"NE",OR(Opci!C17=32,Opci!C45=1,AND(Opci!C47&lt;2,Opci!C41&lt;&gt;"DA"))),1,0)</f>
        <v>0</v>
      </c>
      <c r="O64" s="216"/>
      <c r="P64" s="193"/>
      <c r="Q64" s="193"/>
      <c r="R64" s="193"/>
      <c r="S64" s="193"/>
      <c r="T64" s="193"/>
      <c r="U64" s="64"/>
    </row>
    <row r="65" spans="1:24" ht="114.75" customHeight="1">
      <c r="A65" s="194" t="s">
        <v>2073</v>
      </c>
      <c r="B65" s="195" t="str">
        <f t="shared" si="6"/>
        <v>Ispravno</v>
      </c>
      <c r="C65" s="402" t="s">
        <v>2255</v>
      </c>
      <c r="D65" s="402"/>
      <c r="E65" s="402"/>
      <c r="F65" s="402"/>
      <c r="G65" s="402"/>
      <c r="H65" s="402"/>
      <c r="I65" s="402"/>
      <c r="J65" s="402"/>
      <c r="L65" s="193">
        <f>MAX(M65:Q65)</f>
        <v>0</v>
      </c>
      <c r="M65" s="193">
        <f>IF(AND(Opci!C45&lt;&gt;"NE",Opci!C17=1),1,0)</f>
        <v>0</v>
      </c>
      <c r="N65" s="193">
        <f>IF(AND(OR(Opci!E9=5,Opci!E9=2),RDG!K44&gt;30000000,OR(Opci!C17=10,Opci!C17=11,Opci!C17=21,Opci!C17=31,Opci!C17=40),Opci!H49&lt;&gt;"DA",Opci!C45&lt;&gt;1),1,0)</f>
        <v>0</v>
      </c>
      <c r="O65" s="193">
        <f>IF(AND(Opci!E9=4,Opci!C45&gt;1,OR(Opci!C17=10,Opci!C17=11,Opci!C17=21,Opci!C17=31,Opci!C17=40),Opci!H49&lt;&gt;"DA"),1,0)</f>
        <v>0</v>
      </c>
      <c r="P65" s="47">
        <f>IF(AND(Opci!C45&lt;&gt;1,Opci!C47&gt;1,OR(Opci!C17=10,Opci!C17=11,Opci!C17=21,Opci!C17=31,Opci!C17=40),Opci!H49&lt;&gt;"DA"),1,0)</f>
        <v>0</v>
      </c>
      <c r="Q65" s="47">
        <f>IF(OR(AND(Opci!C43="DA",Opci!E43=""),AND(Opci!C43&lt;&gt;"DA",Opci!E43&lt;&gt;"")),1,0)</f>
        <v>0</v>
      </c>
      <c r="T65" s="217" t="s">
        <v>2256</v>
      </c>
      <c r="U65" s="217" t="s">
        <v>2257</v>
      </c>
      <c r="V65" s="217" t="s">
        <v>2258</v>
      </c>
      <c r="W65" s="217" t="s">
        <v>2259</v>
      </c>
      <c r="X65" s="217" t="s">
        <v>2260</v>
      </c>
    </row>
    <row r="66" spans="1:15" ht="36" customHeight="1">
      <c r="A66" s="194" t="s">
        <v>2074</v>
      </c>
      <c r="B66" s="195" t="str">
        <f>IF(L66=0,"Ispravno","Nije ispravno")</f>
        <v>Ispravno</v>
      </c>
      <c r="C66" s="402" t="s">
        <v>2261</v>
      </c>
      <c r="D66" s="402"/>
      <c r="E66" s="402"/>
      <c r="F66" s="402"/>
      <c r="G66" s="402"/>
      <c r="H66" s="402"/>
      <c r="I66" s="402"/>
      <c r="J66" s="402"/>
      <c r="L66" s="193">
        <f>IF(SUM(M66:P66)&gt;0,1,0)</f>
        <v>0</v>
      </c>
      <c r="M66" s="193">
        <f>IF(AND(Opci!C45&lt;&gt;1,Opci!C43="DA",Opci!E43=""),1,0)</f>
        <v>0</v>
      </c>
      <c r="N66" s="193">
        <f>IF(AND(Opci!E43&lt;&gt;"",OR(Opci!C45=1,Opci!C43="NE")),1,0)</f>
        <v>0</v>
      </c>
      <c r="O66" s="193">
        <f>IF(AND(Opci!E43="",Opci!H49="DA"),1,0)</f>
        <v>0</v>
      </c>
    </row>
    <row r="67" spans="1:20" ht="43.5" customHeight="1">
      <c r="A67" s="194" t="s">
        <v>2075</v>
      </c>
      <c r="B67" s="195" t="str">
        <f t="shared" si="6"/>
        <v>Ispravno</v>
      </c>
      <c r="C67" s="402" t="s">
        <v>2262</v>
      </c>
      <c r="D67" s="402"/>
      <c r="E67" s="402"/>
      <c r="F67" s="402"/>
      <c r="G67" s="402"/>
      <c r="H67" s="402"/>
      <c r="I67" s="402"/>
      <c r="J67" s="402"/>
      <c r="L67" s="193">
        <f>IF(SUM(M67:Q67)&gt;0,1,0)</f>
        <v>0</v>
      </c>
      <c r="M67" s="193">
        <f>IF(AND(Opci!C45=1,Opci!H51="DA"),1,0)</f>
        <v>0</v>
      </c>
      <c r="N67" s="193">
        <f>IF(AND(Opci!C47&lt;2,Opci!H51="DA",Opci!C41&lt;&gt;"DA"),1,0)</f>
        <v>0</v>
      </c>
      <c r="O67" s="193">
        <f>IF(AND(Opci!H51="DA",Opci!C17&lt;&gt;10,Opci!C17&lt;&gt;11,Opci!C17&lt;&gt;20,Opci!C17&lt;&gt;30),1,0)</f>
        <v>0</v>
      </c>
      <c r="P67" s="47">
        <f>IF(AND(Opci!H51="NE",Opci!C17&lt;12,Opci!C47&gt;1,Opci!C45&gt;1),1,0)</f>
        <v>0</v>
      </c>
      <c r="Q67" s="193">
        <f>IF(AND(Opci!C41="DA",Opci!H51="NE"),1,0)</f>
        <v>0</v>
      </c>
      <c r="R67" s="193"/>
      <c r="S67" s="193"/>
      <c r="T67" s="64"/>
    </row>
    <row r="68" spans="1:23" ht="39" customHeight="1">
      <c r="A68" s="194" t="s">
        <v>2076</v>
      </c>
      <c r="B68" s="195" t="str">
        <f t="shared" si="6"/>
        <v>Ispravno</v>
      </c>
      <c r="C68" s="402" t="s">
        <v>2263</v>
      </c>
      <c r="D68" s="402"/>
      <c r="E68" s="402"/>
      <c r="F68" s="402"/>
      <c r="G68" s="402"/>
      <c r="H68" s="402"/>
      <c r="I68" s="402"/>
      <c r="J68" s="402"/>
      <c r="L68" s="193">
        <f>IF(SUM(M68:Q68)&gt;0,1,0)</f>
        <v>0</v>
      </c>
      <c r="M68" s="193">
        <f>IF(AND(Opci!C17&lt;&gt;10,Opci!C17&lt;&gt;11,Opci!C17&lt;&gt;20,Opci!C17&lt;&gt;30,Opci!H53="DA"),1,0)</f>
        <v>0</v>
      </c>
      <c r="N68" s="193">
        <f>IF(AND(Opci!H53="DA",Opci!C45&lt;2),1,0)</f>
        <v>0</v>
      </c>
      <c r="O68" s="193">
        <f>IF(AND(Opci!C45&gt;1,Opci!H53&lt;&gt;"DA",Opci!C17=10,Opci!C41&lt;&gt;"DA"),1,0)</f>
        <v>0</v>
      </c>
      <c r="P68" s="47">
        <f>IF(AND(Opci!C45&gt;1,Opci!H53&lt;&gt;"DA",Opci!C17=11,Opci!C41&lt;&gt;"DA"),1,0)</f>
        <v>0</v>
      </c>
      <c r="Q68" s="47">
        <f>IF(AND(Opci!C41="DA",Opci!H53="DA"),1,0)</f>
        <v>0</v>
      </c>
      <c r="R68" s="193"/>
      <c r="S68" s="193"/>
      <c r="T68" s="193"/>
      <c r="U68" s="193"/>
      <c r="V68" s="193"/>
      <c r="W68" s="64"/>
    </row>
    <row r="69" spans="1:32" ht="42" customHeight="1">
      <c r="A69" s="194" t="s">
        <v>2077</v>
      </c>
      <c r="B69" s="195" t="str">
        <f t="shared" si="6"/>
        <v>Ispravno</v>
      </c>
      <c r="C69" s="402" t="s">
        <v>2264</v>
      </c>
      <c r="D69" s="402"/>
      <c r="E69" s="402"/>
      <c r="F69" s="402"/>
      <c r="G69" s="402"/>
      <c r="H69" s="402"/>
      <c r="I69" s="402"/>
      <c r="J69" s="402"/>
      <c r="L69" s="218">
        <f>IF(SUM(M69:P69)&gt;0,1,0)</f>
        <v>0</v>
      </c>
      <c r="M69" s="193">
        <f>IF(AND(Opci!C45=1,Opci!H55="DA"),1,0)</f>
        <v>0</v>
      </c>
      <c r="N69" s="193">
        <f>IF(AND(Kont!H97="DA",Opci!C17&lt;&gt;10,Opci!C17&lt;&gt;11,Opci!C17&lt;&gt;20,Opci!C17&lt;&gt;30),1,0)</f>
        <v>0</v>
      </c>
      <c r="O69" s="193">
        <f>IF(AND(Opci!C17=10,Opci!C45&gt;1,Opci!H55&lt;&gt;"DA"),1,0)</f>
        <v>0</v>
      </c>
      <c r="P69" s="47">
        <f>IF(AND(Opci!C17=11,Opci!C45&gt;1,Opci!H55&lt;&gt;"DA"),1,0)</f>
        <v>0</v>
      </c>
      <c r="Q69" s="219"/>
      <c r="R69" s="220"/>
      <c r="S69" s="220"/>
      <c r="T69" s="220"/>
      <c r="U69" s="220"/>
      <c r="V69" s="220"/>
      <c r="W69" s="221"/>
      <c r="Z69" s="216"/>
      <c r="AA69" s="193"/>
      <c r="AB69" s="193"/>
      <c r="AC69" s="193"/>
      <c r="AD69" s="193"/>
      <c r="AE69" s="193"/>
      <c r="AF69" s="64"/>
    </row>
    <row r="70" spans="1:22" ht="68.25" customHeight="1">
      <c r="A70" s="194" t="s">
        <v>2078</v>
      </c>
      <c r="B70" s="195" t="str">
        <f>IF(L70=0,"Ispravno","Nije ispravno")</f>
        <v>Ispravno</v>
      </c>
      <c r="C70" s="402" t="s">
        <v>2265</v>
      </c>
      <c r="D70" s="402"/>
      <c r="E70" s="402"/>
      <c r="F70" s="402"/>
      <c r="G70" s="402"/>
      <c r="H70" s="402"/>
      <c r="I70" s="402"/>
      <c r="J70" s="402"/>
      <c r="L70" s="218">
        <f>IF(SUM(M70:N70)&gt;0,1,0)</f>
        <v>0</v>
      </c>
      <c r="M70" s="193">
        <f>IF(AND(Opci!C45&gt;1,Opci!C47=3,Opci!H57&lt;&gt;"DA"),1,0)</f>
        <v>0</v>
      </c>
      <c r="N70" s="47">
        <f>IF(AND(Opci!H57="DA",Opci!C45=1),1,0)</f>
        <v>0</v>
      </c>
      <c r="P70" s="216"/>
      <c r="Q70" s="193"/>
      <c r="R70" s="193"/>
      <c r="S70" s="193"/>
      <c r="T70" s="193"/>
      <c r="U70" s="193"/>
      <c r="V70" s="64"/>
    </row>
    <row r="71" spans="1:32" ht="39.75" customHeight="1">
      <c r="A71" s="194" t="s">
        <v>2079</v>
      </c>
      <c r="B71" s="195" t="str">
        <f t="shared" si="6"/>
        <v>Ispravno</v>
      </c>
      <c r="C71" s="399" t="s">
        <v>2266</v>
      </c>
      <c r="D71" s="399"/>
      <c r="E71" s="399"/>
      <c r="F71" s="399"/>
      <c r="G71" s="399"/>
      <c r="H71" s="399"/>
      <c r="I71" s="399"/>
      <c r="J71" s="399"/>
      <c r="L71" s="193">
        <f>IF(AND(Opci!C17=11,Opci!C45=3),1,0)</f>
        <v>0</v>
      </c>
      <c r="M71" s="193"/>
      <c r="N71" s="193"/>
      <c r="O71" s="193"/>
      <c r="Q71" s="219"/>
      <c r="R71" s="220"/>
      <c r="S71" s="220"/>
      <c r="T71" s="220"/>
      <c r="U71" s="220"/>
      <c r="V71" s="220"/>
      <c r="W71" s="221"/>
      <c r="Z71" s="216"/>
      <c r="AA71" s="193"/>
      <c r="AB71" s="193"/>
      <c r="AC71" s="193"/>
      <c r="AD71" s="193"/>
      <c r="AE71" s="193"/>
      <c r="AF71" s="64"/>
    </row>
    <row r="72" spans="1:33" ht="85.5" customHeight="1">
      <c r="A72" s="194" t="s">
        <v>2080</v>
      </c>
      <c r="B72" s="195" t="str">
        <f>IF(L72=0,"Ispravno","Nije ispravno")</f>
        <v>Ispravno</v>
      </c>
      <c r="C72" s="399" t="s">
        <v>2267</v>
      </c>
      <c r="D72" s="399"/>
      <c r="E72" s="399"/>
      <c r="F72" s="399"/>
      <c r="G72" s="399"/>
      <c r="H72" s="399"/>
      <c r="I72" s="399"/>
      <c r="J72" s="399"/>
      <c r="L72" s="193">
        <f>IF(OR(M72=1,N72=1,Q72=1,R72=1,S72=1,T72=1,U72=1,V72=1,W72=1,X72=1,Y72=1),1,0)</f>
        <v>0</v>
      </c>
      <c r="M72" s="193">
        <f>IF(OR(Opci!C57&gt;12,Opci!E57&gt;12,Opci!C57&lt;0,Opci!E57&lt;0),1,0)</f>
        <v>0</v>
      </c>
      <c r="N72" s="193">
        <f>IF(OR(Opci!E57&gt;O72,Opci!E57&lt;P72),1,0)</f>
        <v>0</v>
      </c>
      <c r="O72" s="222">
        <f>ROUND((Opci!H5-Opci!E5+20)/30,0)</f>
        <v>13</v>
      </c>
      <c r="P72" s="47">
        <f>ROUND((Opci!H5-Opci!E5-20)/30,0)</f>
        <v>11</v>
      </c>
      <c r="Q72" s="47">
        <f>IF(AND(OR(MIN(RDG!K9:K52)&lt;0,MAX(RDG!K9)&gt;0),Opci!C57=0),1,0)</f>
        <v>0</v>
      </c>
      <c r="R72" s="47">
        <f>IF(AND(SUM(RDG!L9:L52)&gt;0,Opci!E57=0),1,0)</f>
        <v>0</v>
      </c>
      <c r="S72" s="220">
        <f>IF(AND(Opci!C17=32,OR(Opci!C57&lt;&gt;0,Opci!E57&lt;&gt;0,Opci!E5&lt;&gt;Opci!H5)),1,0)</f>
        <v>0</v>
      </c>
      <c r="T72" s="220">
        <f>IF(Opci!E5&gt;Opci!H5,1,0)</f>
        <v>0</v>
      </c>
      <c r="U72" s="220">
        <f>IF(AND(Opci!C17=32,Bilanca!Q2&lt;&gt;0),1,0)</f>
        <v>0</v>
      </c>
      <c r="V72" s="220">
        <f>IF(AND(Opci!C17=10,OR(MONTH(Opci!H5)&lt;&gt;12,DAY(Opci!H5)&lt;&gt;31)),1,0)</f>
        <v>0</v>
      </c>
      <c r="W72" s="220">
        <f>IF(AND(Opci!C17=11,OR(MONTH(Opci!H5)&lt;&gt;12,DAY(Opci!H5)&lt;&gt;31),Opci!C45=1),1,0)</f>
        <v>0</v>
      </c>
      <c r="X72" s="221">
        <f>IF(AND(Opci!C17=11,MONTH(Opci!H5)=12,DAY(Opci!H5)=31,Opci!C45=2),1,0)</f>
        <v>0</v>
      </c>
      <c r="Y72" s="47">
        <f>IF(AND(AND(MIN(Bilanca!K10:K108)=0,MAX(Bilanca!K10:K108)=0),Opci!C57&gt;0),1,0)</f>
        <v>0</v>
      </c>
      <c r="AA72" s="216"/>
      <c r="AB72" s="193"/>
      <c r="AC72" s="193"/>
      <c r="AD72" s="193"/>
      <c r="AE72" s="193"/>
      <c r="AF72" s="193"/>
      <c r="AG72" s="64"/>
    </row>
    <row r="73" spans="1:32" ht="42" customHeight="1">
      <c r="A73" s="194" t="s">
        <v>2081</v>
      </c>
      <c r="B73" s="195" t="str">
        <f>IF(L73=0,"Ispravno","Nije ispravno")</f>
        <v>Ispravno</v>
      </c>
      <c r="C73" s="399" t="s">
        <v>2268</v>
      </c>
      <c r="D73" s="399"/>
      <c r="E73" s="399"/>
      <c r="F73" s="399"/>
      <c r="G73" s="399"/>
      <c r="H73" s="399"/>
      <c r="I73" s="399"/>
      <c r="J73" s="399"/>
      <c r="L73" s="193">
        <f>IF(OR(M73=1,N73=1),1,0)</f>
        <v>0</v>
      </c>
      <c r="M73" s="193">
        <f>IF(AND(Opci!C41="DA",Opci!C45&lt;&gt;2),1,0)</f>
        <v>0</v>
      </c>
      <c r="N73" s="193">
        <f>IF(AND(Opci!C41="DA",Opci!C17&lt;&gt;10,Opci!C17&lt;&gt;11,Opci!C17&lt;&gt;20,Opci!C17&lt;&gt;30),1,0)</f>
        <v>0</v>
      </c>
      <c r="O73" s="193"/>
      <c r="Q73" s="219"/>
      <c r="R73" s="220"/>
      <c r="S73" s="220"/>
      <c r="T73" s="220"/>
      <c r="U73" s="220"/>
      <c r="V73" s="220"/>
      <c r="W73" s="221"/>
      <c r="Z73" s="216"/>
      <c r="AA73" s="193"/>
      <c r="AB73" s="193"/>
      <c r="AC73" s="193"/>
      <c r="AD73" s="193"/>
      <c r="AE73" s="193"/>
      <c r="AF73" s="64"/>
    </row>
    <row r="74" spans="1:22" ht="42" customHeight="1">
      <c r="A74" s="194" t="s">
        <v>2082</v>
      </c>
      <c r="B74" s="195" t="str">
        <f>IF(L74=0,"Ispravno","Nije ispravno")</f>
        <v>Ispravno</v>
      </c>
      <c r="C74" s="399" t="s">
        <v>2269</v>
      </c>
      <c r="D74" s="399"/>
      <c r="E74" s="399"/>
      <c r="F74" s="399"/>
      <c r="G74" s="399"/>
      <c r="H74" s="399"/>
      <c r="I74" s="399"/>
      <c r="J74" s="399"/>
      <c r="L74" s="193">
        <f>IF(SUM(M74:O74)&gt;0,1,0)</f>
        <v>0</v>
      </c>
      <c r="M74" s="222">
        <f>IF(AND(OR(Bilanca!Q6&lt;&gt;0,Bilanca!Q7&lt;&gt;0),Opci!C41&lt;&gt;"DA"),1,0)</f>
        <v>0</v>
      </c>
      <c r="N74" s="222">
        <f>IF(AND(RDG!Q7&lt;&gt;0,Opci!C41&lt;&gt;"DA"),1,0)</f>
        <v>0</v>
      </c>
      <c r="O74" s="222">
        <f>IF(AND(Bilanca!Q6=0,Opci!C41="DA",Bilanca!Q2=1),1,0)</f>
        <v>0</v>
      </c>
      <c r="P74" s="47">
        <f>IF(AND(Bilanca!Q7=0,Opci!C41="DA",Bilanca!Q3=1),1,0)</f>
        <v>0</v>
      </c>
      <c r="Q74" s="47">
        <f>IF(AND(RDG!Q6=0,Opci!C41="DA",RDG!Q2=1),1,0)</f>
        <v>0</v>
      </c>
      <c r="R74" s="47">
        <f>IF(AND(RDG!Q7=0,Opci!C41="DA",RDG!Q3=1),1,0)</f>
        <v>0</v>
      </c>
      <c r="S74" s="220"/>
      <c r="T74" s="193"/>
      <c r="U74" s="193"/>
      <c r="V74" s="64"/>
    </row>
    <row r="75" spans="1:32" ht="29.25" customHeight="1">
      <c r="A75" s="194" t="s">
        <v>2083</v>
      </c>
      <c r="B75" s="195" t="str">
        <f t="shared" si="6"/>
        <v>Ispravno</v>
      </c>
      <c r="C75" s="399" t="s">
        <v>2270</v>
      </c>
      <c r="D75" s="399"/>
      <c r="E75" s="399"/>
      <c r="F75" s="399"/>
      <c r="G75" s="399"/>
      <c r="H75" s="399"/>
      <c r="I75" s="399"/>
      <c r="J75" s="399"/>
      <c r="L75" s="193">
        <f>IF(AND(Opci!E9&gt;6,Opci!C45&gt;1,Opci!E9&lt;&gt;11,Opci!E9&lt;&gt;81),1,0)</f>
        <v>0</v>
      </c>
      <c r="M75" s="193"/>
      <c r="N75" s="193"/>
      <c r="O75" s="193"/>
      <c r="Q75" s="219"/>
      <c r="R75" s="220"/>
      <c r="S75" s="220"/>
      <c r="T75" s="220"/>
      <c r="U75" s="220"/>
      <c r="V75" s="220"/>
      <c r="W75" s="221"/>
      <c r="Z75" s="216"/>
      <c r="AA75" s="193"/>
      <c r="AB75" s="193"/>
      <c r="AC75" s="193"/>
      <c r="AD75" s="193"/>
      <c r="AE75" s="193"/>
      <c r="AF75" s="64"/>
    </row>
    <row r="76" spans="1:32" ht="49.5" customHeight="1">
      <c r="A76" s="194" t="s">
        <v>2084</v>
      </c>
      <c r="B76" s="195" t="str">
        <f aca="true" t="shared" si="7" ref="B76:B81">IF(L76=0,"Ispravno","Nije ispravno")</f>
        <v>Ispravno</v>
      </c>
      <c r="C76" s="399" t="s">
        <v>2271</v>
      </c>
      <c r="D76" s="399"/>
      <c r="E76" s="399"/>
      <c r="F76" s="399"/>
      <c r="G76" s="399"/>
      <c r="H76" s="399"/>
      <c r="I76" s="399"/>
      <c r="J76" s="399"/>
      <c r="L76" s="193">
        <f>IF(OR(M76=1,N76=1),1,0)</f>
        <v>0</v>
      </c>
      <c r="M76" s="193">
        <f>IF(AND(Opci!E9=15,Opci!C39&lt;&gt;"0000"),1,0)</f>
        <v>0</v>
      </c>
      <c r="N76" s="193">
        <f>IF(AND(Opci!E9&lt;&gt;15,Opci!C39="0000"),1,0)</f>
        <v>0</v>
      </c>
      <c r="O76" s="193"/>
      <c r="Q76" s="219"/>
      <c r="R76" s="220"/>
      <c r="S76" s="220"/>
      <c r="T76" s="220"/>
      <c r="U76" s="220"/>
      <c r="V76" s="220"/>
      <c r="W76" s="221"/>
      <c r="Z76" s="216"/>
      <c r="AA76" s="193"/>
      <c r="AB76" s="193"/>
      <c r="AC76" s="193"/>
      <c r="AD76" s="193"/>
      <c r="AE76" s="193"/>
      <c r="AF76" s="64"/>
    </row>
    <row r="77" spans="1:29" ht="39" customHeight="1">
      <c r="A77" s="194" t="s">
        <v>2085</v>
      </c>
      <c r="B77" s="195" t="str">
        <f t="shared" si="7"/>
        <v>Ispravno</v>
      </c>
      <c r="C77" s="399" t="s">
        <v>2272</v>
      </c>
      <c r="D77" s="399"/>
      <c r="E77" s="399"/>
      <c r="F77" s="399"/>
      <c r="G77" s="399"/>
      <c r="H77" s="399"/>
      <c r="I77" s="399"/>
      <c r="J77" s="399"/>
      <c r="L77" s="193">
        <f>IF(SUM(M77:T77)&gt;0,1,0)</f>
        <v>0</v>
      </c>
      <c r="M77" s="201">
        <f>IF(ISERROR(INT(VALUE(Opci!C63))),1,0)</f>
        <v>0</v>
      </c>
      <c r="N77" s="193">
        <f>IF(ISERROR(INT(VALUE(Opci!G59))),1,0)</f>
        <v>0</v>
      </c>
      <c r="O77" s="193">
        <f>IF(ISERROR(INT(VALUE(Opci!J59))),1,0)</f>
        <v>0</v>
      </c>
      <c r="P77" s="193">
        <f>IF(ISERROR(INT(VALUE(Opci!M59))),1,0)</f>
        <v>0</v>
      </c>
      <c r="Q77" s="193">
        <f>IF(ISERROR(INT(VALUE(Opci!G61))),1,0)</f>
        <v>0</v>
      </c>
      <c r="R77" s="193">
        <f>IF(ISERROR(INT(VALUE(Opci!J61))),1,0)</f>
        <v>0</v>
      </c>
      <c r="S77" s="193">
        <f>IF(ISERROR(INT(VALUE(Opci!M61))),1,0)</f>
        <v>0</v>
      </c>
      <c r="T77" s="193">
        <f>IF(ISERROR(INT(VALUE(Opci!G61))),1,0)</f>
        <v>0</v>
      </c>
      <c r="W77" s="216"/>
      <c r="X77" s="193"/>
      <c r="Y77" s="193"/>
      <c r="Z77" s="193"/>
      <c r="AA77" s="193"/>
      <c r="AB77" s="193"/>
      <c r="AC77" s="64"/>
    </row>
    <row r="78" spans="1:29" ht="66" customHeight="1">
      <c r="A78" s="194" t="s">
        <v>2086</v>
      </c>
      <c r="B78" s="195" t="str">
        <f t="shared" si="7"/>
        <v>Ispravno</v>
      </c>
      <c r="C78" s="399" t="s">
        <v>2273</v>
      </c>
      <c r="D78" s="399"/>
      <c r="E78" s="399"/>
      <c r="F78" s="399"/>
      <c r="G78" s="399"/>
      <c r="H78" s="399"/>
      <c r="I78" s="399"/>
      <c r="J78" s="399"/>
      <c r="L78" s="193">
        <f>IF(SUM(M78:T78)&gt;0,1,0)</f>
        <v>0</v>
      </c>
      <c r="M78" s="201">
        <f>IF(AND(Opci!H57="DA",RDG!Q8=0,Opci!C17&lt;&gt;32),1,0)</f>
        <v>0</v>
      </c>
      <c r="N78" s="193">
        <f>IF(AND(OR(Opci!E9&lt;7,Opci!E9=11),Opci!C47=3,RDG!Q8=0,Opci!C17&lt;&gt;32),1,0)</f>
        <v>0</v>
      </c>
      <c r="O78" s="193">
        <f>IF(AND(AND(Opci!E9&gt;6,Opci!E9&lt;&gt;11),RDG!Q8=1,Opci!C47&lt;3),1,0)</f>
        <v>0</v>
      </c>
      <c r="P78" s="193">
        <f>IF(AND(Opci!C45&gt;1,Opci!H57&lt;&gt;"DA",RDG!Q8=1),1,0)</f>
        <v>0</v>
      </c>
      <c r="Q78" s="193"/>
      <c r="R78" s="193"/>
      <c r="S78" s="193"/>
      <c r="T78" s="193"/>
      <c r="W78" s="216"/>
      <c r="X78" s="193"/>
      <c r="Y78" s="193"/>
      <c r="Z78" s="193"/>
      <c r="AA78" s="193"/>
      <c r="AB78" s="193"/>
      <c r="AC78" s="64"/>
    </row>
    <row r="79" spans="1:29" ht="108" customHeight="1">
      <c r="A79" s="194" t="s">
        <v>2087</v>
      </c>
      <c r="B79" s="195" t="str">
        <f t="shared" si="7"/>
        <v>Ispravno</v>
      </c>
      <c r="C79" s="402" t="s">
        <v>2274</v>
      </c>
      <c r="D79" s="402"/>
      <c r="E79" s="402"/>
      <c r="F79" s="402"/>
      <c r="G79" s="402"/>
      <c r="H79" s="402"/>
      <c r="I79" s="402"/>
      <c r="J79" s="402"/>
      <c r="L79" s="201">
        <f>MAX(M79:M79)</f>
        <v>0</v>
      </c>
      <c r="M79" s="201">
        <f>IF(ISERROR(O79),0,1)</f>
        <v>0</v>
      </c>
      <c r="N79" s="193" t="str">
        <f ca="1">CELL("filename")</f>
        <v>C:\Users\SKG - VESNA\Desktop\backup\Users\SKG-Vesna\Desktop\[GFI-POD 2014.G. JAVNA OBJAVA.xls]RDG</v>
      </c>
      <c r="O79" s="193" t="e">
        <f>FIND(".XLSX",UPPER(N79),1)</f>
        <v>#VALUE!</v>
      </c>
      <c r="P79" s="193"/>
      <c r="Q79" s="193"/>
      <c r="R79" s="193"/>
      <c r="S79" s="193"/>
      <c r="T79" s="193"/>
      <c r="W79" s="216"/>
      <c r="X79" s="193"/>
      <c r="Y79" s="193"/>
      <c r="Z79" s="193"/>
      <c r="AA79" s="193"/>
      <c r="AB79" s="193"/>
      <c r="AC79" s="64"/>
    </row>
    <row r="80" spans="1:32" ht="33" customHeight="1">
      <c r="A80" s="194" t="s">
        <v>2088</v>
      </c>
      <c r="B80" s="195" t="str">
        <f t="shared" si="7"/>
        <v>Ispravno</v>
      </c>
      <c r="C80" s="401" t="s">
        <v>2275</v>
      </c>
      <c r="D80" s="401"/>
      <c r="E80" s="401"/>
      <c r="F80" s="401"/>
      <c r="G80" s="401"/>
      <c r="H80" s="401"/>
      <c r="I80" s="401"/>
      <c r="J80" s="401"/>
      <c r="L80" s="193">
        <f>IF(M80&gt;0,1,0)</f>
        <v>0</v>
      </c>
      <c r="M80" s="193">
        <f>IF(Opci!C51+Opci!E51&lt;&gt;100,1,0)</f>
        <v>0</v>
      </c>
      <c r="N80" s="193"/>
      <c r="O80" s="193"/>
      <c r="Q80" s="219"/>
      <c r="R80" s="220"/>
      <c r="S80" s="220"/>
      <c r="T80" s="220"/>
      <c r="U80" s="220"/>
      <c r="V80" s="220"/>
      <c r="W80" s="221"/>
      <c r="Z80" s="216"/>
      <c r="AA80" s="193"/>
      <c r="AB80" s="193"/>
      <c r="AC80" s="193"/>
      <c r="AD80" s="193"/>
      <c r="AE80" s="193"/>
      <c r="AF80" s="64"/>
    </row>
    <row r="81" spans="1:31" ht="56.25" customHeight="1">
      <c r="A81" s="194" t="s">
        <v>2089</v>
      </c>
      <c r="B81" s="195" t="str">
        <f t="shared" si="7"/>
        <v>Ispravno</v>
      </c>
      <c r="C81" s="401" t="s">
        <v>2276</v>
      </c>
      <c r="D81" s="401"/>
      <c r="E81" s="401"/>
      <c r="F81" s="401"/>
      <c r="G81" s="401"/>
      <c r="H81" s="401"/>
      <c r="I81" s="401"/>
      <c r="J81" s="401"/>
      <c r="L81" s="193">
        <f>IF(M81&gt;0,1,0)</f>
        <v>0</v>
      </c>
      <c r="M81" s="193">
        <f>IF(SUM(Skriveni!I2:I392)&lt;&gt;0,1,0)</f>
        <v>0</v>
      </c>
      <c r="N81" s="193"/>
      <c r="P81" s="219"/>
      <c r="Q81" s="220"/>
      <c r="R81" s="220"/>
      <c r="S81" s="220"/>
      <c r="T81" s="220"/>
      <c r="U81" s="220"/>
      <c r="V81" s="221"/>
      <c r="Y81" s="216"/>
      <c r="Z81" s="193"/>
      <c r="AA81" s="193"/>
      <c r="AB81" s="193"/>
      <c r="AC81" s="193"/>
      <c r="AD81" s="193"/>
      <c r="AE81" s="64"/>
    </row>
    <row r="82" spans="1:15" ht="32.25" customHeight="1">
      <c r="A82" s="403" t="s">
        <v>2277</v>
      </c>
      <c r="B82" s="403"/>
      <c r="C82" s="403"/>
      <c r="D82" s="403"/>
      <c r="E82" s="403"/>
      <c r="F82" s="403"/>
      <c r="G82" s="403"/>
      <c r="H82" s="403"/>
      <c r="I82" s="403"/>
      <c r="J82" s="403"/>
      <c r="L82" s="193"/>
      <c r="M82" s="193"/>
      <c r="N82" s="193"/>
      <c r="O82" s="193"/>
    </row>
    <row r="83" spans="1:15" ht="39" customHeight="1">
      <c r="A83" s="223" t="s">
        <v>2090</v>
      </c>
      <c r="B83" s="195" t="str">
        <f aca="true" t="shared" si="8" ref="B83:B92">IF(L83=0,"Ispravno","Upozorenje!!!")</f>
        <v>Ispravno</v>
      </c>
      <c r="C83" s="398" t="s">
        <v>2278</v>
      </c>
      <c r="D83" s="398"/>
      <c r="E83" s="398"/>
      <c r="F83" s="398"/>
      <c r="G83" s="398"/>
      <c r="H83" s="398"/>
      <c r="I83" s="398"/>
      <c r="J83" s="398"/>
      <c r="L83" s="193">
        <f>IF(OR(M83=1,N83=1),1,0)</f>
        <v>0</v>
      </c>
      <c r="M83" s="193">
        <f>IF((PodDop!K81+PodDop!K82+PodDop!K84+PodDop!K85+PodDop!K87+PodDop!K88+PodDop!K89+PodDop!K90)&gt;(RDG!K10+1),1,0)</f>
        <v>0</v>
      </c>
      <c r="N83" s="193">
        <f>IF((PodDop!L81+PodDop!L82+PodDop!L84+PodDop!L85+PodDop!L87+PodDop!L88+PodDop!L89+PodDop!L90)&gt;(RDG!L10+1),1,0)</f>
        <v>0</v>
      </c>
      <c r="O83" s="193"/>
    </row>
    <row r="84" spans="1:15" ht="39" customHeight="1">
      <c r="A84" s="223" t="s">
        <v>2091</v>
      </c>
      <c r="B84" s="195" t="str">
        <f t="shared" si="8"/>
        <v>Ispravno</v>
      </c>
      <c r="C84" s="399" t="s">
        <v>2279</v>
      </c>
      <c r="D84" s="399"/>
      <c r="E84" s="399"/>
      <c r="F84" s="399"/>
      <c r="G84" s="399"/>
      <c r="H84" s="399"/>
      <c r="I84" s="399"/>
      <c r="J84" s="399"/>
      <c r="L84" s="193">
        <f>IF(OR(M84=1,N84=1),1,0)</f>
        <v>0</v>
      </c>
      <c r="M84" s="193">
        <f>IF(AND(Opci!C45&lt;&gt;2,Opci!C57&gt;0,PodDop!K100=0),1,0)</f>
        <v>0</v>
      </c>
      <c r="N84" s="193">
        <f>IF(AND(Opci!C45&lt;&gt;2,Opci!E57&gt;0,PodDop!L100=0),1,0)</f>
        <v>0</v>
      </c>
      <c r="O84" s="193"/>
    </row>
    <row r="85" spans="1:15" ht="34.5" customHeight="1">
      <c r="A85" s="223" t="s">
        <v>2092</v>
      </c>
      <c r="B85" s="195" t="str">
        <f t="shared" si="8"/>
        <v>Ispravno</v>
      </c>
      <c r="C85" s="399" t="s">
        <v>2280</v>
      </c>
      <c r="D85" s="399"/>
      <c r="E85" s="399"/>
      <c r="F85" s="399"/>
      <c r="G85" s="399"/>
      <c r="H85" s="399"/>
      <c r="I85" s="399"/>
      <c r="J85" s="399"/>
      <c r="L85" s="193">
        <f>IF(OR(M85=1,N85=1),1,0)</f>
        <v>0</v>
      </c>
      <c r="M85" s="193">
        <f>IF(AND(Opci!C45&lt;&gt;2,Opci!C57&gt;0,PodDop!K101=0),1,0)</f>
        <v>0</v>
      </c>
      <c r="N85" s="193">
        <f>IF(AND(Opci!C45&lt;&gt;2,Opci!E57&gt;0,PodDop!L101=0),1,0)</f>
        <v>0</v>
      </c>
      <c r="O85" s="193"/>
    </row>
    <row r="86" spans="1:15" ht="63" customHeight="1">
      <c r="A86" s="223" t="s">
        <v>2093</v>
      </c>
      <c r="B86" s="195" t="str">
        <f t="shared" si="8"/>
        <v>Ispravno</v>
      </c>
      <c r="C86" s="402" t="s">
        <v>2281</v>
      </c>
      <c r="D86" s="402"/>
      <c r="E86" s="402"/>
      <c r="F86" s="402"/>
      <c r="G86" s="402"/>
      <c r="H86" s="402"/>
      <c r="I86" s="402"/>
      <c r="J86" s="402"/>
      <c r="L86" s="193">
        <f>M86+N86</f>
        <v>0</v>
      </c>
      <c r="M86" s="193">
        <f>IF(AND(RDG!K18&gt;10000,OR(Opci!C55=0,Opci!C53=0)),1,0)</f>
        <v>0</v>
      </c>
      <c r="N86" s="193">
        <f>IF(AND(RDG!L18&gt;10000,OR(Opci!E55=0,Opci!E53=0)),1,0)</f>
        <v>0</v>
      </c>
      <c r="O86" s="193"/>
    </row>
    <row r="87" spans="1:15" ht="42.75" customHeight="1">
      <c r="A87" s="223" t="s">
        <v>2094</v>
      </c>
      <c r="B87" s="195" t="str">
        <f t="shared" si="8"/>
        <v>Ispravno</v>
      </c>
      <c r="C87" s="399" t="s">
        <v>2282</v>
      </c>
      <c r="D87" s="399"/>
      <c r="E87" s="399"/>
      <c r="F87" s="399"/>
      <c r="G87" s="399"/>
      <c r="H87" s="399"/>
      <c r="I87" s="399"/>
      <c r="J87" s="399"/>
      <c r="L87" s="193">
        <f>IF(OR(M87=1,N87=1),1,0)</f>
        <v>0</v>
      </c>
      <c r="M87" s="193">
        <f>IF((PodDop!K92-RDG!K11-RDG!K42)&gt;0,1,0)</f>
        <v>0</v>
      </c>
      <c r="N87" s="193">
        <f>IF((PodDop!L92-RDG!L11-RDG!L42)&gt;0,1,0)</f>
        <v>0</v>
      </c>
      <c r="O87" s="193"/>
    </row>
    <row r="88" spans="1:15" ht="54" customHeight="1">
      <c r="A88" s="223" t="s">
        <v>2095</v>
      </c>
      <c r="B88" s="195" t="str">
        <f t="shared" si="8"/>
        <v>Ispravno</v>
      </c>
      <c r="C88" s="399" t="s">
        <v>2283</v>
      </c>
      <c r="D88" s="399"/>
      <c r="E88" s="399"/>
      <c r="F88" s="399"/>
      <c r="G88" s="399"/>
      <c r="H88" s="399"/>
      <c r="I88" s="399"/>
      <c r="J88" s="399"/>
      <c r="L88" s="193">
        <f>IF(OR(M88=1,N88=1),1,0)</f>
        <v>0</v>
      </c>
      <c r="M88" s="193">
        <f>IF((PodDop!K102-PodDop!K81-PodDop!K84-PodDop!K85-PodDop!K87-PodDop!K88-PodDop!K89-PodDop!K90)&gt;0,1,0)</f>
        <v>0</v>
      </c>
      <c r="N88" s="193">
        <f>IF((PodDop!L102-PodDop!L81-PodDop!L84-PodDop!L85-PodDop!L87-PodDop!L88-PodDop!L89-PodDop!L90)&gt;0,1,0)</f>
        <v>0</v>
      </c>
      <c r="O88" s="193"/>
    </row>
    <row r="89" spans="1:15" ht="40.5" customHeight="1">
      <c r="A89" s="223" t="s">
        <v>2096</v>
      </c>
      <c r="B89" s="195" t="str">
        <f t="shared" si="8"/>
        <v>Ispravno</v>
      </c>
      <c r="C89" s="399" t="s">
        <v>2284</v>
      </c>
      <c r="D89" s="399"/>
      <c r="E89" s="399"/>
      <c r="F89" s="399"/>
      <c r="G89" s="399"/>
      <c r="H89" s="399"/>
      <c r="I89" s="399"/>
      <c r="J89" s="399"/>
      <c r="L89" s="193">
        <f>IF(OR(M89=1,N89=1),1,0)</f>
        <v>0</v>
      </c>
      <c r="M89" s="193">
        <f>IF(AND(PodDop!K139=0,PodDop!Q1=1,RDG!K18&gt;0),1,0)</f>
        <v>0</v>
      </c>
      <c r="N89" s="193">
        <f>IF(AND(PodDop!L139=0,PodDop!Q1=1,RDG!L18&gt;0),1,0)</f>
        <v>0</v>
      </c>
      <c r="O89" s="193"/>
    </row>
    <row r="90" spans="1:15" ht="39" customHeight="1">
      <c r="A90" s="223" t="s">
        <v>2097</v>
      </c>
      <c r="B90" s="195" t="str">
        <f t="shared" si="8"/>
        <v>Ispravno</v>
      </c>
      <c r="C90" s="399" t="s">
        <v>2285</v>
      </c>
      <c r="D90" s="399"/>
      <c r="E90" s="399"/>
      <c r="F90" s="399"/>
      <c r="G90" s="399"/>
      <c r="H90" s="399"/>
      <c r="I90" s="399"/>
      <c r="J90" s="399"/>
      <c r="L90" s="201">
        <f>MAX(M90:N90)</f>
        <v>0</v>
      </c>
      <c r="M90" s="201">
        <f>IF(PodDop!K102&gt;RDG!K16,1,0)</f>
        <v>0</v>
      </c>
      <c r="N90" s="201">
        <f>IF(PodDop!L102&gt;RDG!L16,1,0)</f>
        <v>0</v>
      </c>
      <c r="O90" s="193"/>
    </row>
    <row r="91" spans="1:14" ht="57.75" customHeight="1">
      <c r="A91" s="223" t="s">
        <v>2098</v>
      </c>
      <c r="B91" s="195" t="str">
        <f t="shared" si="8"/>
        <v>Ispravno</v>
      </c>
      <c r="C91" s="402" t="s">
        <v>2286</v>
      </c>
      <c r="D91" s="402"/>
      <c r="E91" s="402"/>
      <c r="F91" s="402"/>
      <c r="G91" s="402"/>
      <c r="H91" s="402"/>
      <c r="I91" s="402"/>
      <c r="J91" s="402"/>
      <c r="L91" s="193">
        <f>IF(OR(M91=1,N91=1),1,0)</f>
        <v>0</v>
      </c>
      <c r="M91" s="193">
        <f>IF(OR(PodDop!K136&gt;1000,PodDop!K137&gt;1000,PodDop!K138&gt;1000,PodDop!K142&gt;100,PodDop!K143&gt;100),1,0)</f>
        <v>0</v>
      </c>
      <c r="N91" s="193">
        <f>IF(OR(PodDop!L136&gt;1000,PodDop!L137&gt;1000,PodDop!L138&gt;1000,PodDop!L142&gt;100,PodDop!L143&gt;100),1,0)</f>
        <v>0</v>
      </c>
    </row>
    <row r="92" spans="1:20" ht="77.25" customHeight="1">
      <c r="A92" s="223" t="s">
        <v>2099</v>
      </c>
      <c r="B92" s="195" t="str">
        <f t="shared" si="8"/>
        <v>Ispravno</v>
      </c>
      <c r="C92" s="404" t="s">
        <v>2287</v>
      </c>
      <c r="D92" s="404"/>
      <c r="E92" s="404"/>
      <c r="F92" s="404"/>
      <c r="G92" s="404"/>
      <c r="H92" s="404"/>
      <c r="I92" s="404"/>
      <c r="J92" s="404"/>
      <c r="L92" s="193">
        <f>IF(OR(M92=1,N92=1,S92=1,T92=1),1,0)</f>
        <v>0</v>
      </c>
      <c r="M92" s="193">
        <f>IF(OR(Opci!C53&gt;1000,Opci!E53&gt;1000,Opci!C55&gt;1000,Opci!E55&gt;1000),1,0)</f>
        <v>0</v>
      </c>
      <c r="N92" s="193">
        <f>IF(MAX(O92:R92)&gt;15,1,0)</f>
        <v>0</v>
      </c>
      <c r="O92" s="193">
        <f>IF(Opci!C53+Opci!C55&gt;20,ABS(Opci!C53-Opci!C55)/(Opci!C53+Opci!C55)*200,0)</f>
        <v>0</v>
      </c>
      <c r="P92" s="47">
        <f>IF(Opci!E53+Opci!E55&gt;20,ABS(Opci!E53-Opci!E55)/(Opci!E53+Opci!E55)*200,0)</f>
        <v>0</v>
      </c>
      <c r="Q92" s="47">
        <f>IF(Opci!C53+Opci!E53&gt;20,ABS(Opci!C53-Opci!E53)/(Opci!C53+Opci!E53)*200,0)</f>
        <v>4.3478260869565215</v>
      </c>
      <c r="R92" s="47">
        <f>IF(Opci!C55+Opci!E55,ABS(Opci!C55-Opci!E55)/(Opci!C55+Opci!E55)*200,0)</f>
        <v>4.3478260869565215</v>
      </c>
      <c r="S92" s="47">
        <f>IF(AND(PodDop!Q1&lt;&gt;0,Opci!C53&gt;PodDop!K136),1,0)</f>
        <v>0</v>
      </c>
      <c r="T92" s="47">
        <f>IF(AND(PodDop!Q1&lt;&gt;0,Opci!E53&gt;PodDop!L136),1,0)</f>
        <v>0</v>
      </c>
    </row>
    <row r="93" ht="4.5" customHeight="1"/>
    <row r="100" spans="3:10" ht="12.75" customHeight="1" hidden="1">
      <c r="C100" s="193"/>
      <c r="D100" s="193"/>
      <c r="E100" s="193"/>
      <c r="F100" s="193"/>
      <c r="G100" s="193"/>
      <c r="H100" s="193"/>
      <c r="I100" s="193"/>
      <c r="J100" s="193"/>
    </row>
    <row r="114" ht="12.75"/>
  </sheetData>
  <sheetProtection sheet="1" objects="1" scenarios="1"/>
  <mergeCells count="92">
    <mergeCell ref="C91:J91"/>
    <mergeCell ref="C92:J92"/>
    <mergeCell ref="C85:J85"/>
    <mergeCell ref="C86:J86"/>
    <mergeCell ref="C87:J87"/>
    <mergeCell ref="C88:J88"/>
    <mergeCell ref="C89:J89"/>
    <mergeCell ref="C90:J90"/>
    <mergeCell ref="C79:J79"/>
    <mergeCell ref="C80:J80"/>
    <mergeCell ref="C81:J81"/>
    <mergeCell ref="A82:J82"/>
    <mergeCell ref="C83:J83"/>
    <mergeCell ref="C84:J84"/>
    <mergeCell ref="C73:J73"/>
    <mergeCell ref="C74:J74"/>
    <mergeCell ref="C75:J75"/>
    <mergeCell ref="C76:J76"/>
    <mergeCell ref="C77:J77"/>
    <mergeCell ref="C78:J78"/>
    <mergeCell ref="C67:J67"/>
    <mergeCell ref="C68:J68"/>
    <mergeCell ref="C69:J69"/>
    <mergeCell ref="C70:J70"/>
    <mergeCell ref="C71:J71"/>
    <mergeCell ref="C72:J72"/>
    <mergeCell ref="C61:J61"/>
    <mergeCell ref="C62:J62"/>
    <mergeCell ref="C63:J63"/>
    <mergeCell ref="C64:J64"/>
    <mergeCell ref="C65:J65"/>
    <mergeCell ref="C66:J66"/>
    <mergeCell ref="C55:J55"/>
    <mergeCell ref="A56:J56"/>
    <mergeCell ref="C57:J57"/>
    <mergeCell ref="C58:J58"/>
    <mergeCell ref="C59:J59"/>
    <mergeCell ref="C60:J60"/>
    <mergeCell ref="C49:J49"/>
    <mergeCell ref="C50:J50"/>
    <mergeCell ref="C51:J51"/>
    <mergeCell ref="C52:J52"/>
    <mergeCell ref="C53:J53"/>
    <mergeCell ref="C54:J54"/>
    <mergeCell ref="C43:J43"/>
    <mergeCell ref="C44:J44"/>
    <mergeCell ref="C45:J45"/>
    <mergeCell ref="C46:J46"/>
    <mergeCell ref="C47:J47"/>
    <mergeCell ref="C48:J48"/>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7:J7"/>
    <mergeCell ref="C8:J8"/>
    <mergeCell ref="C9:J9"/>
    <mergeCell ref="C10:J10"/>
    <mergeCell ref="C11:J11"/>
    <mergeCell ref="C12:J12"/>
    <mergeCell ref="A1:B2"/>
    <mergeCell ref="A3:B3"/>
    <mergeCell ref="C3:J3"/>
    <mergeCell ref="A4:J4"/>
    <mergeCell ref="C5:J5"/>
    <mergeCell ref="C6:J6"/>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s="72" customFormat="1" ht="30" customHeight="1">
      <c r="A3" s="405" t="s">
        <v>2288</v>
      </c>
      <c r="B3" s="405"/>
      <c r="C3" s="405"/>
      <c r="D3" s="405"/>
      <c r="E3" s="405"/>
      <c r="F3" s="405"/>
      <c r="G3" s="405"/>
      <c r="H3" s="405"/>
      <c r="I3" s="405"/>
      <c r="J3" s="405"/>
    </row>
    <row r="4" spans="1:10" s="72" customFormat="1" ht="15.75" customHeight="1">
      <c r="A4" s="224" t="s">
        <v>2289</v>
      </c>
      <c r="B4" s="406" t="s">
        <v>2290</v>
      </c>
      <c r="C4" s="406"/>
      <c r="D4" s="406"/>
      <c r="E4" s="406"/>
      <c r="F4" s="406"/>
      <c r="G4" s="406"/>
      <c r="H4" s="406"/>
      <c r="I4" s="406"/>
      <c r="J4" s="406"/>
    </row>
    <row r="5" spans="1:10" ht="12.75" customHeight="1" hidden="1">
      <c r="A5" s="225" t="s">
        <v>329</v>
      </c>
      <c r="B5" s="407" t="s">
        <v>2291</v>
      </c>
      <c r="C5" s="407"/>
      <c r="D5" s="407"/>
      <c r="E5" s="407"/>
      <c r="F5" s="407"/>
      <c r="G5" s="407"/>
      <c r="H5" s="407"/>
      <c r="I5" s="407"/>
      <c r="J5" s="407"/>
    </row>
    <row r="6" spans="1:10" ht="13.5" customHeight="1">
      <c r="A6" s="226" t="s">
        <v>334</v>
      </c>
      <c r="B6" s="408" t="s">
        <v>2292</v>
      </c>
      <c r="C6" s="408"/>
      <c r="D6" s="408"/>
      <c r="E6" s="408"/>
      <c r="F6" s="408"/>
      <c r="G6" s="408"/>
      <c r="H6" s="408"/>
      <c r="I6" s="408"/>
      <c r="J6" s="408"/>
    </row>
    <row r="7" spans="1:10" ht="13.5" customHeight="1">
      <c r="A7" s="226" t="s">
        <v>341</v>
      </c>
      <c r="B7" s="408" t="s">
        <v>2293</v>
      </c>
      <c r="C7" s="408"/>
      <c r="D7" s="408"/>
      <c r="E7" s="408"/>
      <c r="F7" s="408"/>
      <c r="G7" s="408"/>
      <c r="H7" s="408"/>
      <c r="I7" s="408"/>
      <c r="J7" s="408"/>
    </row>
    <row r="8" spans="1:10" ht="13.5" customHeight="1">
      <c r="A8" s="226" t="s">
        <v>346</v>
      </c>
      <c r="B8" s="408" t="s">
        <v>2294</v>
      </c>
      <c r="C8" s="408"/>
      <c r="D8" s="408"/>
      <c r="E8" s="408"/>
      <c r="F8" s="408"/>
      <c r="G8" s="408"/>
      <c r="H8" s="408"/>
      <c r="I8" s="408"/>
      <c r="J8" s="408"/>
    </row>
    <row r="9" spans="1:10" ht="13.5" customHeight="1">
      <c r="A9" s="226" t="s">
        <v>353</v>
      </c>
      <c r="B9" s="408" t="s">
        <v>2295</v>
      </c>
      <c r="C9" s="408"/>
      <c r="D9" s="408"/>
      <c r="E9" s="408"/>
      <c r="F9" s="408"/>
      <c r="G9" s="408"/>
      <c r="H9" s="408"/>
      <c r="I9" s="408"/>
      <c r="J9" s="408"/>
    </row>
    <row r="10" spans="1:10" ht="13.5" customHeight="1">
      <c r="A10" s="226" t="s">
        <v>358</v>
      </c>
      <c r="B10" s="408" t="s">
        <v>2296</v>
      </c>
      <c r="C10" s="408"/>
      <c r="D10" s="408"/>
      <c r="E10" s="408"/>
      <c r="F10" s="408"/>
      <c r="G10" s="408"/>
      <c r="H10" s="408"/>
      <c r="I10" s="408"/>
      <c r="J10" s="408"/>
    </row>
    <row r="11" spans="1:10" ht="13.5" customHeight="1">
      <c r="A11" s="226" t="s">
        <v>364</v>
      </c>
      <c r="B11" s="408" t="s">
        <v>2297</v>
      </c>
      <c r="C11" s="408"/>
      <c r="D11" s="408"/>
      <c r="E11" s="408"/>
      <c r="F11" s="408"/>
      <c r="G11" s="408"/>
      <c r="H11" s="408"/>
      <c r="I11" s="408"/>
      <c r="J11" s="408"/>
    </row>
    <row r="12" spans="1:10" ht="13.5" customHeight="1">
      <c r="A12" s="226" t="s">
        <v>369</v>
      </c>
      <c r="B12" s="408" t="s">
        <v>2298</v>
      </c>
      <c r="C12" s="408"/>
      <c r="D12" s="408"/>
      <c r="E12" s="408"/>
      <c r="F12" s="408"/>
      <c r="G12" s="408"/>
      <c r="H12" s="408"/>
      <c r="I12" s="408"/>
      <c r="J12" s="408"/>
    </row>
    <row r="13" spans="1:10" ht="13.5" customHeight="1">
      <c r="A13" s="226" t="s">
        <v>376</v>
      </c>
      <c r="B13" s="408" t="s">
        <v>2299</v>
      </c>
      <c r="C13" s="408"/>
      <c r="D13" s="408"/>
      <c r="E13" s="408"/>
      <c r="F13" s="408"/>
      <c r="G13" s="408"/>
      <c r="H13" s="408"/>
      <c r="I13" s="408"/>
      <c r="J13" s="408"/>
    </row>
    <row r="14" spans="1:10" ht="13.5" customHeight="1">
      <c r="A14" s="226" t="s">
        <v>380</v>
      </c>
      <c r="B14" s="408" t="s">
        <v>2300</v>
      </c>
      <c r="C14" s="408"/>
      <c r="D14" s="408"/>
      <c r="E14" s="408"/>
      <c r="F14" s="408"/>
      <c r="G14" s="408"/>
      <c r="H14" s="408"/>
      <c r="I14" s="408"/>
      <c r="J14" s="408"/>
    </row>
    <row r="15" spans="1:10" ht="13.5" customHeight="1">
      <c r="A15" s="226" t="s">
        <v>386</v>
      </c>
      <c r="B15" s="408" t="s">
        <v>2301</v>
      </c>
      <c r="C15" s="408"/>
      <c r="D15" s="408"/>
      <c r="E15" s="408"/>
      <c r="F15" s="408"/>
      <c r="G15" s="408"/>
      <c r="H15" s="408"/>
      <c r="I15" s="408"/>
      <c r="J15" s="408"/>
    </row>
    <row r="16" spans="1:10" ht="13.5" customHeight="1">
      <c r="A16" s="226" t="s">
        <v>390</v>
      </c>
      <c r="B16" s="408" t="s">
        <v>2302</v>
      </c>
      <c r="C16" s="408"/>
      <c r="D16" s="408"/>
      <c r="E16" s="408"/>
      <c r="F16" s="408"/>
      <c r="G16" s="408"/>
      <c r="H16" s="408"/>
      <c r="I16" s="408"/>
      <c r="J16" s="408"/>
    </row>
    <row r="17" spans="1:10" ht="13.5" customHeight="1">
      <c r="A17" s="226" t="s">
        <v>397</v>
      </c>
      <c r="B17" s="408" t="s">
        <v>2303</v>
      </c>
      <c r="C17" s="408"/>
      <c r="D17" s="408"/>
      <c r="E17" s="408"/>
      <c r="F17" s="408"/>
      <c r="G17" s="408"/>
      <c r="H17" s="408"/>
      <c r="I17" s="408"/>
      <c r="J17" s="408"/>
    </row>
    <row r="18" spans="1:10" ht="13.5" customHeight="1">
      <c r="A18" s="226" t="s">
        <v>401</v>
      </c>
      <c r="B18" s="408" t="s">
        <v>2304</v>
      </c>
      <c r="C18" s="408"/>
      <c r="D18" s="408"/>
      <c r="E18" s="408"/>
      <c r="F18" s="408"/>
      <c r="G18" s="408"/>
      <c r="H18" s="408"/>
      <c r="I18" s="408"/>
      <c r="J18" s="408"/>
    </row>
    <row r="19" spans="1:10" ht="13.5" customHeight="1">
      <c r="A19" s="226" t="s">
        <v>409</v>
      </c>
      <c r="B19" s="408" t="s">
        <v>2305</v>
      </c>
      <c r="C19" s="408"/>
      <c r="D19" s="408"/>
      <c r="E19" s="408"/>
      <c r="F19" s="408"/>
      <c r="G19" s="408"/>
      <c r="H19" s="408"/>
      <c r="I19" s="408"/>
      <c r="J19" s="408"/>
    </row>
    <row r="20" spans="1:10" ht="13.5" customHeight="1">
      <c r="A20" s="226" t="s">
        <v>413</v>
      </c>
      <c r="B20" s="408" t="s">
        <v>2306</v>
      </c>
      <c r="C20" s="408"/>
      <c r="D20" s="408"/>
      <c r="E20" s="408"/>
      <c r="F20" s="408"/>
      <c r="G20" s="408"/>
      <c r="H20" s="408"/>
      <c r="I20" s="408"/>
      <c r="J20" s="408"/>
    </row>
    <row r="21" spans="1:10" ht="13.5" customHeight="1">
      <c r="A21" s="226" t="s">
        <v>419</v>
      </c>
      <c r="B21" s="408" t="s">
        <v>2307</v>
      </c>
      <c r="C21" s="408"/>
      <c r="D21" s="408"/>
      <c r="E21" s="408"/>
      <c r="F21" s="408"/>
      <c r="G21" s="408"/>
      <c r="H21" s="408"/>
      <c r="I21" s="408"/>
      <c r="J21" s="408"/>
    </row>
    <row r="22" spans="1:10" ht="13.5" customHeight="1">
      <c r="A22" s="226" t="s">
        <v>423</v>
      </c>
      <c r="B22" s="408" t="s">
        <v>2308</v>
      </c>
      <c r="C22" s="408"/>
      <c r="D22" s="408"/>
      <c r="E22" s="408"/>
      <c r="F22" s="408"/>
      <c r="G22" s="408"/>
      <c r="H22" s="408"/>
      <c r="I22" s="408"/>
      <c r="J22" s="408"/>
    </row>
    <row r="23" spans="1:10" ht="13.5" customHeight="1">
      <c r="A23" s="226" t="s">
        <v>428</v>
      </c>
      <c r="B23" s="408" t="s">
        <v>2309</v>
      </c>
      <c r="C23" s="408"/>
      <c r="D23" s="408"/>
      <c r="E23" s="408"/>
      <c r="F23" s="408"/>
      <c r="G23" s="408"/>
      <c r="H23" s="408"/>
      <c r="I23" s="408"/>
      <c r="J23" s="408"/>
    </row>
    <row r="24" spans="1:10" ht="13.5" customHeight="1">
      <c r="A24" s="226" t="s">
        <v>431</v>
      </c>
      <c r="B24" s="408" t="s">
        <v>2310</v>
      </c>
      <c r="C24" s="408"/>
      <c r="D24" s="408"/>
      <c r="E24" s="408"/>
      <c r="F24" s="408"/>
      <c r="G24" s="408"/>
      <c r="H24" s="408"/>
      <c r="I24" s="408"/>
      <c r="J24" s="408"/>
    </row>
    <row r="25" spans="1:10" ht="13.5" customHeight="1">
      <c r="A25" s="226" t="s">
        <v>436</v>
      </c>
      <c r="B25" s="408" t="s">
        <v>2311</v>
      </c>
      <c r="C25" s="408"/>
      <c r="D25" s="408"/>
      <c r="E25" s="408"/>
      <c r="F25" s="408"/>
      <c r="G25" s="408"/>
      <c r="H25" s="408"/>
      <c r="I25" s="408"/>
      <c r="J25" s="408"/>
    </row>
    <row r="26" spans="1:10" ht="13.5" customHeight="1">
      <c r="A26" s="226" t="s">
        <v>438</v>
      </c>
      <c r="B26" s="408" t="s">
        <v>2312</v>
      </c>
      <c r="C26" s="408"/>
      <c r="D26" s="408"/>
      <c r="E26" s="408"/>
      <c r="F26" s="408"/>
      <c r="G26" s="408"/>
      <c r="H26" s="408"/>
      <c r="I26" s="408"/>
      <c r="J26" s="408"/>
    </row>
    <row r="27" spans="1:10" ht="13.5" customHeight="1">
      <c r="A27" s="226" t="s">
        <v>444</v>
      </c>
      <c r="B27" s="408" t="s">
        <v>2313</v>
      </c>
      <c r="C27" s="408"/>
      <c r="D27" s="408"/>
      <c r="E27" s="408"/>
      <c r="F27" s="408"/>
      <c r="G27" s="408"/>
      <c r="H27" s="408"/>
      <c r="I27" s="408"/>
      <c r="J27" s="408"/>
    </row>
    <row r="28" spans="1:10" ht="13.5" customHeight="1">
      <c r="A28" s="226" t="s">
        <v>449</v>
      </c>
      <c r="B28" s="408" t="s">
        <v>2314</v>
      </c>
      <c r="C28" s="408"/>
      <c r="D28" s="408"/>
      <c r="E28" s="408"/>
      <c r="F28" s="408"/>
      <c r="G28" s="408"/>
      <c r="H28" s="408"/>
      <c r="I28" s="408"/>
      <c r="J28" s="408"/>
    </row>
    <row r="29" spans="1:10" ht="13.5" customHeight="1">
      <c r="A29" s="226" t="s">
        <v>454</v>
      </c>
      <c r="B29" s="408" t="s">
        <v>2315</v>
      </c>
      <c r="C29" s="408"/>
      <c r="D29" s="408"/>
      <c r="E29" s="408"/>
      <c r="F29" s="408"/>
      <c r="G29" s="408"/>
      <c r="H29" s="408"/>
      <c r="I29" s="408"/>
      <c r="J29" s="408"/>
    </row>
    <row r="30" spans="1:10" ht="13.5" customHeight="1">
      <c r="A30" s="226" t="s">
        <v>459</v>
      </c>
      <c r="B30" s="408" t="s">
        <v>2316</v>
      </c>
      <c r="C30" s="408"/>
      <c r="D30" s="408"/>
      <c r="E30" s="408"/>
      <c r="F30" s="408"/>
      <c r="G30" s="408"/>
      <c r="H30" s="408"/>
      <c r="I30" s="408"/>
      <c r="J30" s="408"/>
    </row>
    <row r="31" spans="1:10" ht="13.5" customHeight="1">
      <c r="A31" s="226" t="s">
        <v>463</v>
      </c>
      <c r="B31" s="408" t="s">
        <v>2317</v>
      </c>
      <c r="C31" s="408"/>
      <c r="D31" s="408"/>
      <c r="E31" s="408"/>
      <c r="F31" s="408"/>
      <c r="G31" s="408"/>
      <c r="H31" s="408"/>
      <c r="I31" s="408"/>
      <c r="J31" s="408"/>
    </row>
    <row r="32" spans="1:10" ht="13.5" customHeight="1">
      <c r="A32" s="226" t="s">
        <v>467</v>
      </c>
      <c r="B32" s="408" t="s">
        <v>2318</v>
      </c>
      <c r="C32" s="408"/>
      <c r="D32" s="408"/>
      <c r="E32" s="408"/>
      <c r="F32" s="408"/>
      <c r="G32" s="408"/>
      <c r="H32" s="408"/>
      <c r="I32" s="408"/>
      <c r="J32" s="408"/>
    </row>
    <row r="33" spans="1:10" ht="13.5" customHeight="1">
      <c r="A33" s="226" t="s">
        <v>472</v>
      </c>
      <c r="B33" s="408" t="s">
        <v>2319</v>
      </c>
      <c r="C33" s="408"/>
      <c r="D33" s="408"/>
      <c r="E33" s="408"/>
      <c r="F33" s="408"/>
      <c r="G33" s="408"/>
      <c r="H33" s="408"/>
      <c r="I33" s="408"/>
      <c r="J33" s="408"/>
    </row>
    <row r="34" spans="1:10" ht="13.5" customHeight="1">
      <c r="A34" s="226" t="s">
        <v>475</v>
      </c>
      <c r="B34" s="408" t="s">
        <v>2320</v>
      </c>
      <c r="C34" s="408"/>
      <c r="D34" s="408"/>
      <c r="E34" s="408"/>
      <c r="F34" s="408"/>
      <c r="G34" s="408"/>
      <c r="H34" s="408"/>
      <c r="I34" s="408"/>
      <c r="J34" s="408"/>
    </row>
    <row r="35" spans="1:10" ht="13.5" customHeight="1">
      <c r="A35" s="226" t="s">
        <v>479</v>
      </c>
      <c r="B35" s="408" t="s">
        <v>2321</v>
      </c>
      <c r="C35" s="408"/>
      <c r="D35" s="408"/>
      <c r="E35" s="408"/>
      <c r="F35" s="408"/>
      <c r="G35" s="408"/>
      <c r="H35" s="408"/>
      <c r="I35" s="408"/>
      <c r="J35" s="408"/>
    </row>
    <row r="36" spans="1:10" ht="13.5" customHeight="1">
      <c r="A36" s="226" t="s">
        <v>481</v>
      </c>
      <c r="B36" s="408" t="s">
        <v>2322</v>
      </c>
      <c r="C36" s="408"/>
      <c r="D36" s="408"/>
      <c r="E36" s="408"/>
      <c r="F36" s="408"/>
      <c r="G36" s="408"/>
      <c r="H36" s="408"/>
      <c r="I36" s="408"/>
      <c r="J36" s="408"/>
    </row>
    <row r="37" spans="1:10" ht="13.5" customHeight="1">
      <c r="A37" s="226" t="s">
        <v>484</v>
      </c>
      <c r="B37" s="408" t="s">
        <v>2323</v>
      </c>
      <c r="C37" s="408"/>
      <c r="D37" s="408"/>
      <c r="E37" s="408"/>
      <c r="F37" s="408"/>
      <c r="G37" s="408"/>
      <c r="H37" s="408"/>
      <c r="I37" s="408"/>
      <c r="J37" s="408"/>
    </row>
    <row r="38" spans="1:10" ht="13.5" customHeight="1">
      <c r="A38" s="226" t="s">
        <v>486</v>
      </c>
      <c r="B38" s="408" t="s">
        <v>2324</v>
      </c>
      <c r="C38" s="408"/>
      <c r="D38" s="408"/>
      <c r="E38" s="408"/>
      <c r="F38" s="408"/>
      <c r="G38" s="408"/>
      <c r="H38" s="408"/>
      <c r="I38" s="408"/>
      <c r="J38" s="408"/>
    </row>
    <row r="39" spans="1:10" ht="13.5" customHeight="1">
      <c r="A39" s="226" t="s">
        <v>489</v>
      </c>
      <c r="B39" s="408" t="s">
        <v>2325</v>
      </c>
      <c r="C39" s="408"/>
      <c r="D39" s="408"/>
      <c r="E39" s="408"/>
      <c r="F39" s="408"/>
      <c r="G39" s="408"/>
      <c r="H39" s="408"/>
      <c r="I39" s="408"/>
      <c r="J39" s="408"/>
    </row>
    <row r="40" spans="1:10" ht="13.5" customHeight="1">
      <c r="A40" s="226" t="s">
        <v>493</v>
      </c>
      <c r="B40" s="408" t="s">
        <v>2326</v>
      </c>
      <c r="C40" s="408"/>
      <c r="D40" s="408"/>
      <c r="E40" s="408"/>
      <c r="F40" s="408"/>
      <c r="G40" s="408"/>
      <c r="H40" s="408"/>
      <c r="I40" s="408"/>
      <c r="J40" s="408"/>
    </row>
    <row r="41" spans="1:10" ht="13.5" customHeight="1">
      <c r="A41" s="226" t="s">
        <v>497</v>
      </c>
      <c r="B41" s="408" t="s">
        <v>2327</v>
      </c>
      <c r="C41" s="408"/>
      <c r="D41" s="408"/>
      <c r="E41" s="408"/>
      <c r="F41" s="408"/>
      <c r="G41" s="408"/>
      <c r="H41" s="408"/>
      <c r="I41" s="408"/>
      <c r="J41" s="408"/>
    </row>
    <row r="42" spans="1:10" ht="13.5" customHeight="1">
      <c r="A42" s="226" t="s">
        <v>500</v>
      </c>
      <c r="B42" s="408" t="s">
        <v>2328</v>
      </c>
      <c r="C42" s="408"/>
      <c r="D42" s="408"/>
      <c r="E42" s="408"/>
      <c r="F42" s="408"/>
      <c r="G42" s="408"/>
      <c r="H42" s="408"/>
      <c r="I42" s="408"/>
      <c r="J42" s="408"/>
    </row>
    <row r="43" spans="1:10" ht="13.5" customHeight="1">
      <c r="A43" s="226" t="s">
        <v>506</v>
      </c>
      <c r="B43" s="408" t="s">
        <v>2329</v>
      </c>
      <c r="C43" s="408"/>
      <c r="D43" s="408"/>
      <c r="E43" s="408"/>
      <c r="F43" s="408"/>
      <c r="G43" s="408"/>
      <c r="H43" s="408"/>
      <c r="I43" s="408"/>
      <c r="J43" s="408"/>
    </row>
    <row r="44" spans="1:10" ht="13.5" customHeight="1">
      <c r="A44" s="226" t="s">
        <v>508</v>
      </c>
      <c r="B44" s="408" t="s">
        <v>2330</v>
      </c>
      <c r="C44" s="408"/>
      <c r="D44" s="408"/>
      <c r="E44" s="408"/>
      <c r="F44" s="408"/>
      <c r="G44" s="408"/>
      <c r="H44" s="408"/>
      <c r="I44" s="408"/>
      <c r="J44" s="408"/>
    </row>
    <row r="45" spans="1:10" ht="13.5" customHeight="1">
      <c r="A45" s="226" t="s">
        <v>511</v>
      </c>
      <c r="B45" s="408" t="s">
        <v>2331</v>
      </c>
      <c r="C45" s="408"/>
      <c r="D45" s="408"/>
      <c r="E45" s="408"/>
      <c r="F45" s="408"/>
      <c r="G45" s="408"/>
      <c r="H45" s="408"/>
      <c r="I45" s="408"/>
      <c r="J45" s="408"/>
    </row>
    <row r="46" spans="1:10" ht="13.5" customHeight="1">
      <c r="A46" s="226" t="s">
        <v>513</v>
      </c>
      <c r="B46" s="408" t="s">
        <v>2332</v>
      </c>
      <c r="C46" s="408"/>
      <c r="D46" s="408"/>
      <c r="E46" s="408"/>
      <c r="F46" s="408"/>
      <c r="G46" s="408"/>
      <c r="H46" s="408"/>
      <c r="I46" s="408"/>
      <c r="J46" s="408"/>
    </row>
    <row r="47" spans="1:10" ht="13.5" customHeight="1">
      <c r="A47" s="226" t="s">
        <v>517</v>
      </c>
      <c r="B47" s="408" t="s">
        <v>2333</v>
      </c>
      <c r="C47" s="408"/>
      <c r="D47" s="408"/>
      <c r="E47" s="408"/>
      <c r="F47" s="408"/>
      <c r="G47" s="408"/>
      <c r="H47" s="408"/>
      <c r="I47" s="408"/>
      <c r="J47" s="408"/>
    </row>
    <row r="48" spans="1:10" ht="13.5" customHeight="1">
      <c r="A48" s="226" t="s">
        <v>520</v>
      </c>
      <c r="B48" s="408" t="s">
        <v>2334</v>
      </c>
      <c r="C48" s="408"/>
      <c r="D48" s="408"/>
      <c r="E48" s="408"/>
      <c r="F48" s="408"/>
      <c r="G48" s="408"/>
      <c r="H48" s="408"/>
      <c r="I48" s="408"/>
      <c r="J48" s="408"/>
    </row>
    <row r="49" spans="1:10" ht="13.5" customHeight="1">
      <c r="A49" s="226" t="s">
        <v>522</v>
      </c>
      <c r="B49" s="408" t="s">
        <v>2335</v>
      </c>
      <c r="C49" s="408"/>
      <c r="D49" s="408"/>
      <c r="E49" s="408"/>
      <c r="F49" s="408"/>
      <c r="G49" s="408"/>
      <c r="H49" s="408"/>
      <c r="I49" s="408"/>
      <c r="J49" s="408"/>
    </row>
    <row r="50" spans="1:10" ht="13.5" customHeight="1">
      <c r="A50" s="226" t="s">
        <v>526</v>
      </c>
      <c r="B50" s="408" t="s">
        <v>2336</v>
      </c>
      <c r="C50" s="408"/>
      <c r="D50" s="408"/>
      <c r="E50" s="408"/>
      <c r="F50" s="408"/>
      <c r="G50" s="408"/>
      <c r="H50" s="408"/>
      <c r="I50" s="408"/>
      <c r="J50" s="408"/>
    </row>
    <row r="51" spans="1:10" ht="13.5" customHeight="1">
      <c r="A51" s="226" t="s">
        <v>528</v>
      </c>
      <c r="B51" s="408" t="s">
        <v>2337</v>
      </c>
      <c r="C51" s="408"/>
      <c r="D51" s="408"/>
      <c r="E51" s="408"/>
      <c r="F51" s="408"/>
      <c r="G51" s="408"/>
      <c r="H51" s="408"/>
      <c r="I51" s="408"/>
      <c r="J51" s="408"/>
    </row>
    <row r="52" spans="1:10" ht="13.5" customHeight="1">
      <c r="A52" s="226" t="s">
        <v>530</v>
      </c>
      <c r="B52" s="408" t="s">
        <v>2338</v>
      </c>
      <c r="C52" s="408"/>
      <c r="D52" s="408"/>
      <c r="E52" s="408"/>
      <c r="F52" s="408"/>
      <c r="G52" s="408"/>
      <c r="H52" s="408"/>
      <c r="I52" s="408"/>
      <c r="J52" s="408"/>
    </row>
    <row r="53" spans="1:10" ht="13.5" customHeight="1">
      <c r="A53" s="226" t="s">
        <v>532</v>
      </c>
      <c r="B53" s="408" t="s">
        <v>2339</v>
      </c>
      <c r="C53" s="408"/>
      <c r="D53" s="408"/>
      <c r="E53" s="408"/>
      <c r="F53" s="408"/>
      <c r="G53" s="408"/>
      <c r="H53" s="408"/>
      <c r="I53" s="408"/>
      <c r="J53" s="408"/>
    </row>
    <row r="54" spans="1:10" ht="13.5" customHeight="1">
      <c r="A54" s="226" t="s">
        <v>534</v>
      </c>
      <c r="B54" s="408" t="s">
        <v>2340</v>
      </c>
      <c r="C54" s="408"/>
      <c r="D54" s="408"/>
      <c r="E54" s="408"/>
      <c r="F54" s="408"/>
      <c r="G54" s="408"/>
      <c r="H54" s="408"/>
      <c r="I54" s="408"/>
      <c r="J54" s="408"/>
    </row>
    <row r="55" spans="1:10" ht="13.5" customHeight="1">
      <c r="A55" s="226" t="s">
        <v>536</v>
      </c>
      <c r="B55" s="408" t="s">
        <v>2341</v>
      </c>
      <c r="C55" s="408"/>
      <c r="D55" s="408"/>
      <c r="E55" s="408"/>
      <c r="F55" s="408"/>
      <c r="G55" s="408"/>
      <c r="H55" s="408"/>
      <c r="I55" s="408"/>
      <c r="J55" s="408"/>
    </row>
    <row r="56" spans="1:10" ht="13.5" customHeight="1">
      <c r="A56" s="226" t="s">
        <v>538</v>
      </c>
      <c r="B56" s="408" t="s">
        <v>2342</v>
      </c>
      <c r="C56" s="408"/>
      <c r="D56" s="408"/>
      <c r="E56" s="408"/>
      <c r="F56" s="408"/>
      <c r="G56" s="408"/>
      <c r="H56" s="408"/>
      <c r="I56" s="408"/>
      <c r="J56" s="408"/>
    </row>
    <row r="57" spans="1:10" ht="13.5" customHeight="1">
      <c r="A57" s="226" t="s">
        <v>540</v>
      </c>
      <c r="B57" s="408" t="s">
        <v>2343</v>
      </c>
      <c r="C57" s="408"/>
      <c r="D57" s="408"/>
      <c r="E57" s="408"/>
      <c r="F57" s="408"/>
      <c r="G57" s="408"/>
      <c r="H57" s="408"/>
      <c r="I57" s="408"/>
      <c r="J57" s="408"/>
    </row>
    <row r="58" spans="1:10" ht="13.5" customHeight="1">
      <c r="A58" s="226" t="s">
        <v>542</v>
      </c>
      <c r="B58" s="408" t="s">
        <v>2344</v>
      </c>
      <c r="C58" s="408"/>
      <c r="D58" s="408"/>
      <c r="E58" s="408"/>
      <c r="F58" s="408"/>
      <c r="G58" s="408"/>
      <c r="H58" s="408"/>
      <c r="I58" s="408"/>
      <c r="J58" s="408"/>
    </row>
    <row r="59" spans="1:10" ht="13.5" customHeight="1">
      <c r="A59" s="226" t="s">
        <v>544</v>
      </c>
      <c r="B59" s="408" t="s">
        <v>2345</v>
      </c>
      <c r="C59" s="408"/>
      <c r="D59" s="408"/>
      <c r="E59" s="408"/>
      <c r="F59" s="408"/>
      <c r="G59" s="408"/>
      <c r="H59" s="408"/>
      <c r="I59" s="408"/>
      <c r="J59" s="408"/>
    </row>
    <row r="60" spans="1:10" ht="13.5" customHeight="1">
      <c r="A60" s="226" t="s">
        <v>546</v>
      </c>
      <c r="B60" s="408" t="s">
        <v>2346</v>
      </c>
      <c r="C60" s="408"/>
      <c r="D60" s="408"/>
      <c r="E60" s="408"/>
      <c r="F60" s="408"/>
      <c r="G60" s="408"/>
      <c r="H60" s="408"/>
      <c r="I60" s="408"/>
      <c r="J60" s="408"/>
    </row>
    <row r="61" spans="1:10" ht="13.5" customHeight="1">
      <c r="A61" s="226" t="s">
        <v>548</v>
      </c>
      <c r="B61" s="408" t="s">
        <v>2347</v>
      </c>
      <c r="C61" s="408"/>
      <c r="D61" s="408"/>
      <c r="E61" s="408"/>
      <c r="F61" s="408"/>
      <c r="G61" s="408"/>
      <c r="H61" s="408"/>
      <c r="I61" s="408"/>
      <c r="J61" s="408"/>
    </row>
    <row r="62" spans="1:10" ht="13.5" customHeight="1">
      <c r="A62" s="226" t="s">
        <v>550</v>
      </c>
      <c r="B62" s="408" t="s">
        <v>2348</v>
      </c>
      <c r="C62" s="408"/>
      <c r="D62" s="408"/>
      <c r="E62" s="408"/>
      <c r="F62" s="408"/>
      <c r="G62" s="408"/>
      <c r="H62" s="408"/>
      <c r="I62" s="408"/>
      <c r="J62" s="408"/>
    </row>
    <row r="63" spans="1:10" ht="13.5" customHeight="1">
      <c r="A63" s="226" t="s">
        <v>552</v>
      </c>
      <c r="B63" s="408" t="s">
        <v>2349</v>
      </c>
      <c r="C63" s="408"/>
      <c r="D63" s="408"/>
      <c r="E63" s="408"/>
      <c r="F63" s="408"/>
      <c r="G63" s="408"/>
      <c r="H63" s="408"/>
      <c r="I63" s="408"/>
      <c r="J63" s="408"/>
    </row>
    <row r="64" spans="1:10" ht="13.5" customHeight="1">
      <c r="A64" s="226" t="s">
        <v>554</v>
      </c>
      <c r="B64" s="408" t="s">
        <v>2350</v>
      </c>
      <c r="C64" s="408"/>
      <c r="D64" s="408"/>
      <c r="E64" s="408"/>
      <c r="F64" s="408"/>
      <c r="G64" s="408"/>
      <c r="H64" s="408"/>
      <c r="I64" s="408"/>
      <c r="J64" s="408"/>
    </row>
    <row r="65" spans="1:10" ht="13.5" customHeight="1">
      <c r="A65" s="226" t="s">
        <v>556</v>
      </c>
      <c r="B65" s="408" t="s">
        <v>2351</v>
      </c>
      <c r="C65" s="408"/>
      <c r="D65" s="408"/>
      <c r="E65" s="408"/>
      <c r="F65" s="408"/>
      <c r="G65" s="408"/>
      <c r="H65" s="408"/>
      <c r="I65" s="408"/>
      <c r="J65" s="408"/>
    </row>
    <row r="66" spans="1:10" ht="13.5" customHeight="1">
      <c r="A66" s="226" t="s">
        <v>558</v>
      </c>
      <c r="B66" s="408" t="s">
        <v>2352</v>
      </c>
      <c r="C66" s="408"/>
      <c r="D66" s="408"/>
      <c r="E66" s="408"/>
      <c r="F66" s="408"/>
      <c r="G66" s="408"/>
      <c r="H66" s="408"/>
      <c r="I66" s="408"/>
      <c r="J66" s="408"/>
    </row>
    <row r="67" spans="1:10" ht="13.5" customHeight="1">
      <c r="A67" s="226" t="s">
        <v>560</v>
      </c>
      <c r="B67" s="408" t="s">
        <v>2353</v>
      </c>
      <c r="C67" s="408"/>
      <c r="D67" s="408"/>
      <c r="E67" s="408"/>
      <c r="F67" s="408"/>
      <c r="G67" s="408"/>
      <c r="H67" s="408"/>
      <c r="I67" s="408"/>
      <c r="J67" s="408"/>
    </row>
    <row r="68" spans="1:10" ht="13.5" customHeight="1">
      <c r="A68" s="226" t="s">
        <v>562</v>
      </c>
      <c r="B68" s="408" t="s">
        <v>2354</v>
      </c>
      <c r="C68" s="408"/>
      <c r="D68" s="408"/>
      <c r="E68" s="408"/>
      <c r="F68" s="408"/>
      <c r="G68" s="408"/>
      <c r="H68" s="408"/>
      <c r="I68" s="408"/>
      <c r="J68" s="408"/>
    </row>
    <row r="69" spans="1:10" ht="13.5" customHeight="1">
      <c r="A69" s="226" t="s">
        <v>564</v>
      </c>
      <c r="B69" s="408" t="s">
        <v>2355</v>
      </c>
      <c r="C69" s="408"/>
      <c r="D69" s="408"/>
      <c r="E69" s="408"/>
      <c r="F69" s="408"/>
      <c r="G69" s="408"/>
      <c r="H69" s="408"/>
      <c r="I69" s="408"/>
      <c r="J69" s="408"/>
    </row>
    <row r="70" spans="1:10" ht="13.5" customHeight="1">
      <c r="A70" s="226" t="s">
        <v>566</v>
      </c>
      <c r="B70" s="408" t="s">
        <v>2356</v>
      </c>
      <c r="C70" s="408"/>
      <c r="D70" s="408"/>
      <c r="E70" s="408"/>
      <c r="F70" s="408"/>
      <c r="G70" s="408"/>
      <c r="H70" s="408"/>
      <c r="I70" s="408"/>
      <c r="J70" s="408"/>
    </row>
    <row r="71" spans="1:10" ht="13.5" customHeight="1">
      <c r="A71" s="226" t="s">
        <v>568</v>
      </c>
      <c r="B71" s="408" t="s">
        <v>2357</v>
      </c>
      <c r="C71" s="408"/>
      <c r="D71" s="408"/>
      <c r="E71" s="408"/>
      <c r="F71" s="408"/>
      <c r="G71" s="408"/>
      <c r="H71" s="408"/>
      <c r="I71" s="408"/>
      <c r="J71" s="408"/>
    </row>
    <row r="72" spans="1:10" ht="13.5" customHeight="1">
      <c r="A72" s="226" t="s">
        <v>570</v>
      </c>
      <c r="B72" s="408" t="s">
        <v>2358</v>
      </c>
      <c r="C72" s="408"/>
      <c r="D72" s="408"/>
      <c r="E72" s="408"/>
      <c r="F72" s="408"/>
      <c r="G72" s="408"/>
      <c r="H72" s="408"/>
      <c r="I72" s="408"/>
      <c r="J72" s="408"/>
    </row>
    <row r="73" spans="1:10" ht="13.5" customHeight="1">
      <c r="A73" s="226" t="s">
        <v>572</v>
      </c>
      <c r="B73" s="408" t="s">
        <v>2359</v>
      </c>
      <c r="C73" s="408"/>
      <c r="D73" s="408"/>
      <c r="E73" s="408"/>
      <c r="F73" s="408"/>
      <c r="G73" s="408"/>
      <c r="H73" s="408"/>
      <c r="I73" s="408"/>
      <c r="J73" s="408"/>
    </row>
    <row r="74" spans="1:10" ht="13.5" customHeight="1">
      <c r="A74" s="226" t="s">
        <v>574</v>
      </c>
      <c r="B74" s="408" t="s">
        <v>2360</v>
      </c>
      <c r="C74" s="408"/>
      <c r="D74" s="408"/>
      <c r="E74" s="408"/>
      <c r="F74" s="408"/>
      <c r="G74" s="408"/>
      <c r="H74" s="408"/>
      <c r="I74" s="408"/>
      <c r="J74" s="408"/>
    </row>
    <row r="75" spans="1:10" ht="13.5" customHeight="1">
      <c r="A75" s="226" t="s">
        <v>576</v>
      </c>
      <c r="B75" s="408" t="s">
        <v>2361</v>
      </c>
      <c r="C75" s="408"/>
      <c r="D75" s="408"/>
      <c r="E75" s="408"/>
      <c r="F75" s="408"/>
      <c r="G75" s="408"/>
      <c r="H75" s="408"/>
      <c r="I75" s="408"/>
      <c r="J75" s="408"/>
    </row>
    <row r="76" spans="1:10" ht="13.5" customHeight="1">
      <c r="A76" s="226" t="s">
        <v>578</v>
      </c>
      <c r="B76" s="408" t="s">
        <v>2362</v>
      </c>
      <c r="C76" s="408"/>
      <c r="D76" s="408"/>
      <c r="E76" s="408"/>
      <c r="F76" s="408"/>
      <c r="G76" s="408"/>
      <c r="H76" s="408"/>
      <c r="I76" s="408"/>
      <c r="J76" s="408"/>
    </row>
    <row r="77" spans="1:10" ht="13.5" customHeight="1">
      <c r="A77" s="226" t="s">
        <v>580</v>
      </c>
      <c r="B77" s="408" t="s">
        <v>2363</v>
      </c>
      <c r="C77" s="408"/>
      <c r="D77" s="408"/>
      <c r="E77" s="408"/>
      <c r="F77" s="408"/>
      <c r="G77" s="408"/>
      <c r="H77" s="408"/>
      <c r="I77" s="408"/>
      <c r="J77" s="408"/>
    </row>
    <row r="78" spans="1:10" ht="13.5" customHeight="1">
      <c r="A78" s="226" t="s">
        <v>582</v>
      </c>
      <c r="B78" s="408" t="s">
        <v>2364</v>
      </c>
      <c r="C78" s="408"/>
      <c r="D78" s="408"/>
      <c r="E78" s="408"/>
      <c r="F78" s="408"/>
      <c r="G78" s="408"/>
      <c r="H78" s="408"/>
      <c r="I78" s="408"/>
      <c r="J78" s="408"/>
    </row>
    <row r="79" spans="1:10" ht="13.5" customHeight="1">
      <c r="A79" s="226" t="s">
        <v>584</v>
      </c>
      <c r="B79" s="408" t="s">
        <v>2365</v>
      </c>
      <c r="C79" s="408"/>
      <c r="D79" s="408"/>
      <c r="E79" s="408"/>
      <c r="F79" s="408"/>
      <c r="G79" s="408"/>
      <c r="H79" s="408"/>
      <c r="I79" s="408"/>
      <c r="J79" s="408"/>
    </row>
    <row r="80" spans="1:10" ht="13.5" customHeight="1">
      <c r="A80" s="226" t="s">
        <v>586</v>
      </c>
      <c r="B80" s="408" t="s">
        <v>2366</v>
      </c>
      <c r="C80" s="408"/>
      <c r="D80" s="408"/>
      <c r="E80" s="408"/>
      <c r="F80" s="408"/>
      <c r="G80" s="408"/>
      <c r="H80" s="408"/>
      <c r="I80" s="408"/>
      <c r="J80" s="408"/>
    </row>
    <row r="81" spans="1:10" ht="13.5" customHeight="1">
      <c r="A81" s="226" t="s">
        <v>588</v>
      </c>
      <c r="B81" s="408" t="s">
        <v>2367</v>
      </c>
      <c r="C81" s="408"/>
      <c r="D81" s="408"/>
      <c r="E81" s="408"/>
      <c r="F81" s="408"/>
      <c r="G81" s="408"/>
      <c r="H81" s="408"/>
      <c r="I81" s="408"/>
      <c r="J81" s="408"/>
    </row>
    <row r="82" spans="1:10" ht="13.5" customHeight="1">
      <c r="A82" s="226" t="s">
        <v>590</v>
      </c>
      <c r="B82" s="408" t="s">
        <v>2368</v>
      </c>
      <c r="C82" s="408"/>
      <c r="D82" s="408"/>
      <c r="E82" s="408"/>
      <c r="F82" s="408"/>
      <c r="G82" s="408"/>
      <c r="H82" s="408"/>
      <c r="I82" s="408"/>
      <c r="J82" s="408"/>
    </row>
    <row r="83" spans="1:10" ht="13.5" customHeight="1">
      <c r="A83" s="226" t="s">
        <v>592</v>
      </c>
      <c r="B83" s="408" t="s">
        <v>2369</v>
      </c>
      <c r="C83" s="408"/>
      <c r="D83" s="408"/>
      <c r="E83" s="408"/>
      <c r="F83" s="408"/>
      <c r="G83" s="408"/>
      <c r="H83" s="408"/>
      <c r="I83" s="408"/>
      <c r="J83" s="408"/>
    </row>
    <row r="84" spans="1:10" ht="13.5" customHeight="1">
      <c r="A84" s="226" t="s">
        <v>594</v>
      </c>
      <c r="B84" s="408" t="s">
        <v>2370</v>
      </c>
      <c r="C84" s="408"/>
      <c r="D84" s="408"/>
      <c r="E84" s="408"/>
      <c r="F84" s="408"/>
      <c r="G84" s="408"/>
      <c r="H84" s="408"/>
      <c r="I84" s="408"/>
      <c r="J84" s="408"/>
    </row>
    <row r="85" spans="1:10" ht="13.5" customHeight="1">
      <c r="A85" s="226" t="s">
        <v>596</v>
      </c>
      <c r="B85" s="408" t="s">
        <v>2371</v>
      </c>
      <c r="C85" s="408"/>
      <c r="D85" s="408"/>
      <c r="E85" s="408"/>
      <c r="F85" s="408"/>
      <c r="G85" s="408"/>
      <c r="H85" s="408"/>
      <c r="I85" s="408"/>
      <c r="J85" s="408"/>
    </row>
    <row r="86" spans="1:10" ht="13.5" customHeight="1">
      <c r="A86" s="226" t="s">
        <v>598</v>
      </c>
      <c r="B86" s="408" t="s">
        <v>2372</v>
      </c>
      <c r="C86" s="408"/>
      <c r="D86" s="408"/>
      <c r="E86" s="408"/>
      <c r="F86" s="408"/>
      <c r="G86" s="408"/>
      <c r="H86" s="408"/>
      <c r="I86" s="408"/>
      <c r="J86" s="408"/>
    </row>
    <row r="87" spans="1:10" ht="13.5" customHeight="1">
      <c r="A87" s="226" t="s">
        <v>600</v>
      </c>
      <c r="B87" s="408" t="s">
        <v>2373</v>
      </c>
      <c r="C87" s="408"/>
      <c r="D87" s="408"/>
      <c r="E87" s="408"/>
      <c r="F87" s="408"/>
      <c r="G87" s="408"/>
      <c r="H87" s="408"/>
      <c r="I87" s="408"/>
      <c r="J87" s="408"/>
    </row>
    <row r="88" spans="1:10" ht="13.5" customHeight="1">
      <c r="A88" s="226" t="s">
        <v>602</v>
      </c>
      <c r="B88" s="408" t="s">
        <v>2374</v>
      </c>
      <c r="C88" s="408"/>
      <c r="D88" s="408"/>
      <c r="E88" s="408"/>
      <c r="F88" s="408"/>
      <c r="G88" s="408"/>
      <c r="H88" s="408"/>
      <c r="I88" s="408"/>
      <c r="J88" s="408"/>
    </row>
    <row r="89" spans="1:10" ht="13.5" customHeight="1">
      <c r="A89" s="226" t="s">
        <v>604</v>
      </c>
      <c r="B89" s="408" t="s">
        <v>2375</v>
      </c>
      <c r="C89" s="408"/>
      <c r="D89" s="408"/>
      <c r="E89" s="408"/>
      <c r="F89" s="408"/>
      <c r="G89" s="408"/>
      <c r="H89" s="408"/>
      <c r="I89" s="408"/>
      <c r="J89" s="408"/>
    </row>
    <row r="90" spans="1:10" ht="13.5" customHeight="1">
      <c r="A90" s="226" t="s">
        <v>606</v>
      </c>
      <c r="B90" s="408" t="s">
        <v>2376</v>
      </c>
      <c r="C90" s="408"/>
      <c r="D90" s="408"/>
      <c r="E90" s="408"/>
      <c r="F90" s="408"/>
      <c r="G90" s="408"/>
      <c r="H90" s="408"/>
      <c r="I90" s="408"/>
      <c r="J90" s="408"/>
    </row>
    <row r="91" spans="1:10" ht="13.5" customHeight="1">
      <c r="A91" s="226" t="s">
        <v>608</v>
      </c>
      <c r="B91" s="408" t="s">
        <v>2377</v>
      </c>
      <c r="C91" s="408"/>
      <c r="D91" s="408"/>
      <c r="E91" s="408"/>
      <c r="F91" s="408"/>
      <c r="G91" s="408"/>
      <c r="H91" s="408"/>
      <c r="I91" s="408"/>
      <c r="J91" s="408"/>
    </row>
    <row r="92" spans="1:10" ht="13.5" customHeight="1">
      <c r="A92" s="226" t="s">
        <v>610</v>
      </c>
      <c r="B92" s="408" t="s">
        <v>2378</v>
      </c>
      <c r="C92" s="408"/>
      <c r="D92" s="408"/>
      <c r="E92" s="408"/>
      <c r="F92" s="408"/>
      <c r="G92" s="408"/>
      <c r="H92" s="408"/>
      <c r="I92" s="408"/>
      <c r="J92" s="408"/>
    </row>
    <row r="93" spans="1:10" ht="13.5" customHeight="1">
      <c r="A93" s="226" t="s">
        <v>612</v>
      </c>
      <c r="B93" s="408" t="s">
        <v>2379</v>
      </c>
      <c r="C93" s="408"/>
      <c r="D93" s="408"/>
      <c r="E93" s="408"/>
      <c r="F93" s="408"/>
      <c r="G93" s="408"/>
      <c r="H93" s="408"/>
      <c r="I93" s="408"/>
      <c r="J93" s="408"/>
    </row>
    <row r="94" spans="1:10" ht="13.5" customHeight="1">
      <c r="A94" s="226" t="s">
        <v>614</v>
      </c>
      <c r="B94" s="408" t="s">
        <v>2380</v>
      </c>
      <c r="C94" s="408"/>
      <c r="D94" s="408"/>
      <c r="E94" s="408"/>
      <c r="F94" s="408"/>
      <c r="G94" s="408"/>
      <c r="H94" s="408"/>
      <c r="I94" s="408"/>
      <c r="J94" s="408"/>
    </row>
    <row r="95" spans="1:10" ht="13.5" customHeight="1">
      <c r="A95" s="226" t="s">
        <v>616</v>
      </c>
      <c r="B95" s="408" t="s">
        <v>2381</v>
      </c>
      <c r="C95" s="408"/>
      <c r="D95" s="408"/>
      <c r="E95" s="408"/>
      <c r="F95" s="408"/>
      <c r="G95" s="408"/>
      <c r="H95" s="408"/>
      <c r="I95" s="408"/>
      <c r="J95" s="408"/>
    </row>
    <row r="96" spans="1:10" ht="13.5" customHeight="1">
      <c r="A96" s="226" t="s">
        <v>618</v>
      </c>
      <c r="B96" s="408" t="s">
        <v>2382</v>
      </c>
      <c r="C96" s="408"/>
      <c r="D96" s="408"/>
      <c r="E96" s="408"/>
      <c r="F96" s="408"/>
      <c r="G96" s="408"/>
      <c r="H96" s="408"/>
      <c r="I96" s="408"/>
      <c r="J96" s="408"/>
    </row>
    <row r="97" spans="1:10" ht="13.5" customHeight="1">
      <c r="A97" s="226" t="s">
        <v>620</v>
      </c>
      <c r="B97" s="408" t="s">
        <v>2383</v>
      </c>
      <c r="C97" s="408"/>
      <c r="D97" s="408"/>
      <c r="E97" s="408"/>
      <c r="F97" s="408"/>
      <c r="G97" s="408"/>
      <c r="H97" s="408"/>
      <c r="I97" s="408"/>
      <c r="J97" s="408"/>
    </row>
    <row r="98" spans="1:10" ht="13.5" customHeight="1">
      <c r="A98" s="226" t="s">
        <v>622</v>
      </c>
      <c r="B98" s="408" t="s">
        <v>2384</v>
      </c>
      <c r="C98" s="408"/>
      <c r="D98" s="408"/>
      <c r="E98" s="408"/>
      <c r="F98" s="408"/>
      <c r="G98" s="408"/>
      <c r="H98" s="408"/>
      <c r="I98" s="408"/>
      <c r="J98" s="408"/>
    </row>
    <row r="99" spans="1:10" ht="13.5" customHeight="1">
      <c r="A99" s="226" t="s">
        <v>624</v>
      </c>
      <c r="B99" s="408" t="s">
        <v>2385</v>
      </c>
      <c r="C99" s="408"/>
      <c r="D99" s="408"/>
      <c r="E99" s="408"/>
      <c r="F99" s="408"/>
      <c r="G99" s="408"/>
      <c r="H99" s="408"/>
      <c r="I99" s="408"/>
      <c r="J99" s="408"/>
    </row>
    <row r="100" spans="1:10" ht="13.5" customHeight="1">
      <c r="A100" s="226" t="s">
        <v>626</v>
      </c>
      <c r="B100" s="408" t="s">
        <v>2386</v>
      </c>
      <c r="C100" s="408"/>
      <c r="D100" s="408"/>
      <c r="E100" s="408"/>
      <c r="F100" s="408"/>
      <c r="G100" s="408"/>
      <c r="H100" s="408"/>
      <c r="I100" s="408"/>
      <c r="J100" s="408"/>
    </row>
    <row r="101" spans="1:10" ht="13.5" customHeight="1">
      <c r="A101" s="226" t="s">
        <v>628</v>
      </c>
      <c r="B101" s="408" t="s">
        <v>2387</v>
      </c>
      <c r="C101" s="408"/>
      <c r="D101" s="408"/>
      <c r="E101" s="408"/>
      <c r="F101" s="408"/>
      <c r="G101" s="408"/>
      <c r="H101" s="408"/>
      <c r="I101" s="408"/>
      <c r="J101" s="408"/>
    </row>
    <row r="102" spans="1:10" ht="13.5" customHeight="1">
      <c r="A102" s="226" t="s">
        <v>630</v>
      </c>
      <c r="B102" s="408" t="s">
        <v>2388</v>
      </c>
      <c r="C102" s="408"/>
      <c r="D102" s="408"/>
      <c r="E102" s="408"/>
      <c r="F102" s="408"/>
      <c r="G102" s="408"/>
      <c r="H102" s="408"/>
      <c r="I102" s="408"/>
      <c r="J102" s="408"/>
    </row>
    <row r="103" spans="1:10" ht="13.5" customHeight="1">
      <c r="A103" s="226" t="s">
        <v>632</v>
      </c>
      <c r="B103" s="408" t="s">
        <v>2389</v>
      </c>
      <c r="C103" s="408"/>
      <c r="D103" s="408"/>
      <c r="E103" s="408"/>
      <c r="F103" s="408"/>
      <c r="G103" s="408"/>
      <c r="H103" s="408"/>
      <c r="I103" s="408"/>
      <c r="J103" s="408"/>
    </row>
    <row r="104" spans="1:10" ht="13.5" customHeight="1">
      <c r="A104" s="226" t="s">
        <v>634</v>
      </c>
      <c r="B104" s="408" t="s">
        <v>2390</v>
      </c>
      <c r="C104" s="408"/>
      <c r="D104" s="408"/>
      <c r="E104" s="408"/>
      <c r="F104" s="408"/>
      <c r="G104" s="408"/>
      <c r="H104" s="408"/>
      <c r="I104" s="408"/>
      <c r="J104" s="408"/>
    </row>
    <row r="105" spans="1:10" ht="13.5" customHeight="1">
      <c r="A105" s="226" t="s">
        <v>636</v>
      </c>
      <c r="B105" s="408" t="s">
        <v>2391</v>
      </c>
      <c r="C105" s="408"/>
      <c r="D105" s="408"/>
      <c r="E105" s="408"/>
      <c r="F105" s="408"/>
      <c r="G105" s="408"/>
      <c r="H105" s="408"/>
      <c r="I105" s="408"/>
      <c r="J105" s="408"/>
    </row>
    <row r="106" spans="1:10" ht="13.5" customHeight="1">
      <c r="A106" s="226" t="s">
        <v>638</v>
      </c>
      <c r="B106" s="408" t="s">
        <v>2392</v>
      </c>
      <c r="C106" s="408"/>
      <c r="D106" s="408"/>
      <c r="E106" s="408"/>
      <c r="F106" s="408"/>
      <c r="G106" s="408"/>
      <c r="H106" s="408"/>
      <c r="I106" s="408"/>
      <c r="J106" s="408"/>
    </row>
    <row r="107" spans="1:10" ht="13.5" customHeight="1">
      <c r="A107" s="226" t="s">
        <v>640</v>
      </c>
      <c r="B107" s="408" t="s">
        <v>2393</v>
      </c>
      <c r="C107" s="408"/>
      <c r="D107" s="408"/>
      <c r="E107" s="408"/>
      <c r="F107" s="408"/>
      <c r="G107" s="408"/>
      <c r="H107" s="408"/>
      <c r="I107" s="408"/>
      <c r="J107" s="408"/>
    </row>
    <row r="108" spans="1:10" ht="13.5" customHeight="1">
      <c r="A108" s="226" t="s">
        <v>642</v>
      </c>
      <c r="B108" s="408" t="s">
        <v>2394</v>
      </c>
      <c r="C108" s="408"/>
      <c r="D108" s="408"/>
      <c r="E108" s="408"/>
      <c r="F108" s="408"/>
      <c r="G108" s="408"/>
      <c r="H108" s="408"/>
      <c r="I108" s="408"/>
      <c r="J108" s="408"/>
    </row>
    <row r="109" spans="1:10" ht="13.5" customHeight="1">
      <c r="A109" s="226" t="s">
        <v>644</v>
      </c>
      <c r="B109" s="408" t="s">
        <v>2395</v>
      </c>
      <c r="C109" s="408"/>
      <c r="D109" s="408"/>
      <c r="E109" s="408"/>
      <c r="F109" s="408"/>
      <c r="G109" s="408"/>
      <c r="H109" s="408"/>
      <c r="I109" s="408"/>
      <c r="J109" s="408"/>
    </row>
    <row r="110" spans="1:10" ht="13.5" customHeight="1">
      <c r="A110" s="226" t="s">
        <v>646</v>
      </c>
      <c r="B110" s="408" t="s">
        <v>2396</v>
      </c>
      <c r="C110" s="408"/>
      <c r="D110" s="408"/>
      <c r="E110" s="408"/>
      <c r="F110" s="408"/>
      <c r="G110" s="408"/>
      <c r="H110" s="408"/>
      <c r="I110" s="408"/>
      <c r="J110" s="408"/>
    </row>
    <row r="111" spans="1:10" ht="13.5" customHeight="1">
      <c r="A111" s="226" t="s">
        <v>648</v>
      </c>
      <c r="B111" s="408" t="s">
        <v>2397</v>
      </c>
      <c r="C111" s="408"/>
      <c r="D111" s="408"/>
      <c r="E111" s="408"/>
      <c r="F111" s="408"/>
      <c r="G111" s="408"/>
      <c r="H111" s="408"/>
      <c r="I111" s="408"/>
      <c r="J111" s="408"/>
    </row>
    <row r="112" spans="1:10" ht="13.5" customHeight="1">
      <c r="A112" s="226" t="s">
        <v>650</v>
      </c>
      <c r="B112" s="408" t="s">
        <v>2398</v>
      </c>
      <c r="C112" s="408"/>
      <c r="D112" s="408"/>
      <c r="E112" s="408"/>
      <c r="F112" s="408"/>
      <c r="G112" s="408"/>
      <c r="H112" s="408"/>
      <c r="I112" s="408"/>
      <c r="J112" s="408"/>
    </row>
    <row r="113" spans="1:10" ht="13.5" customHeight="1">
      <c r="A113" s="226" t="s">
        <v>652</v>
      </c>
      <c r="B113" s="408" t="s">
        <v>2399</v>
      </c>
      <c r="C113" s="408"/>
      <c r="D113" s="408"/>
      <c r="E113" s="408"/>
      <c r="F113" s="408"/>
      <c r="G113" s="408"/>
      <c r="H113" s="408"/>
      <c r="I113" s="408"/>
      <c r="J113" s="408"/>
    </row>
    <row r="114" spans="1:10" ht="13.5" customHeight="1">
      <c r="A114" s="226" t="s">
        <v>654</v>
      </c>
      <c r="B114" s="408" t="s">
        <v>2400</v>
      </c>
      <c r="C114" s="408"/>
      <c r="D114" s="408"/>
      <c r="E114" s="408"/>
      <c r="F114" s="408"/>
      <c r="G114" s="408"/>
      <c r="H114" s="408"/>
      <c r="I114" s="408"/>
      <c r="J114" s="408"/>
    </row>
    <row r="115" spans="1:10" ht="13.5" customHeight="1">
      <c r="A115" s="226" t="s">
        <v>656</v>
      </c>
      <c r="B115" s="408" t="s">
        <v>2401</v>
      </c>
      <c r="C115" s="408"/>
      <c r="D115" s="408"/>
      <c r="E115" s="408"/>
      <c r="F115" s="408"/>
      <c r="G115" s="408"/>
      <c r="H115" s="408"/>
      <c r="I115" s="408"/>
      <c r="J115" s="408"/>
    </row>
    <row r="116" spans="1:10" ht="13.5" customHeight="1">
      <c r="A116" s="226" t="s">
        <v>658</v>
      </c>
      <c r="B116" s="408" t="s">
        <v>2402</v>
      </c>
      <c r="C116" s="408"/>
      <c r="D116" s="408"/>
      <c r="E116" s="408"/>
      <c r="F116" s="408"/>
      <c r="G116" s="408"/>
      <c r="H116" s="408"/>
      <c r="I116" s="408"/>
      <c r="J116" s="408"/>
    </row>
    <row r="117" spans="1:10" ht="13.5" customHeight="1">
      <c r="A117" s="226" t="s">
        <v>660</v>
      </c>
      <c r="B117" s="408" t="s">
        <v>2403</v>
      </c>
      <c r="C117" s="408"/>
      <c r="D117" s="408"/>
      <c r="E117" s="408"/>
      <c r="F117" s="408"/>
      <c r="G117" s="408"/>
      <c r="H117" s="408"/>
      <c r="I117" s="408"/>
      <c r="J117" s="408"/>
    </row>
    <row r="118" spans="1:10" ht="13.5" customHeight="1">
      <c r="A118" s="226" t="s">
        <v>662</v>
      </c>
      <c r="B118" s="408" t="s">
        <v>2404</v>
      </c>
      <c r="C118" s="408"/>
      <c r="D118" s="408"/>
      <c r="E118" s="408"/>
      <c r="F118" s="408"/>
      <c r="G118" s="408"/>
      <c r="H118" s="408"/>
      <c r="I118" s="408"/>
      <c r="J118" s="408"/>
    </row>
    <row r="119" spans="1:10" ht="13.5" customHeight="1">
      <c r="A119" s="226" t="s">
        <v>664</v>
      </c>
      <c r="B119" s="408" t="s">
        <v>2405</v>
      </c>
      <c r="C119" s="408"/>
      <c r="D119" s="408"/>
      <c r="E119" s="408"/>
      <c r="F119" s="408"/>
      <c r="G119" s="408"/>
      <c r="H119" s="408"/>
      <c r="I119" s="408"/>
      <c r="J119" s="408"/>
    </row>
    <row r="120" spans="1:10" ht="13.5" customHeight="1">
      <c r="A120" s="226" t="s">
        <v>666</v>
      </c>
      <c r="B120" s="408" t="s">
        <v>2406</v>
      </c>
      <c r="C120" s="408"/>
      <c r="D120" s="408"/>
      <c r="E120" s="408"/>
      <c r="F120" s="408"/>
      <c r="G120" s="408"/>
      <c r="H120" s="408"/>
      <c r="I120" s="408"/>
      <c r="J120" s="408"/>
    </row>
    <row r="121" spans="1:10" ht="13.5" customHeight="1">
      <c r="A121" s="226" t="s">
        <v>668</v>
      </c>
      <c r="B121" s="408" t="s">
        <v>2407</v>
      </c>
      <c r="C121" s="408"/>
      <c r="D121" s="408"/>
      <c r="E121" s="408"/>
      <c r="F121" s="408"/>
      <c r="G121" s="408"/>
      <c r="H121" s="408"/>
      <c r="I121" s="408"/>
      <c r="J121" s="408"/>
    </row>
    <row r="122" spans="1:10" ht="13.5" customHeight="1">
      <c r="A122" s="226" t="s">
        <v>670</v>
      </c>
      <c r="B122" s="408" t="s">
        <v>2408</v>
      </c>
      <c r="C122" s="408"/>
      <c r="D122" s="408"/>
      <c r="E122" s="408"/>
      <c r="F122" s="408"/>
      <c r="G122" s="408"/>
      <c r="H122" s="408"/>
      <c r="I122" s="408"/>
      <c r="J122" s="408"/>
    </row>
    <row r="123" spans="1:10" ht="13.5" customHeight="1">
      <c r="A123" s="226" t="s">
        <v>672</v>
      </c>
      <c r="B123" s="408" t="s">
        <v>2409</v>
      </c>
      <c r="C123" s="408"/>
      <c r="D123" s="408"/>
      <c r="E123" s="408"/>
      <c r="F123" s="408"/>
      <c r="G123" s="408"/>
      <c r="H123" s="408"/>
      <c r="I123" s="408"/>
      <c r="J123" s="408"/>
    </row>
    <row r="124" spans="1:10" ht="13.5" customHeight="1">
      <c r="A124" s="226" t="s">
        <v>674</v>
      </c>
      <c r="B124" s="408" t="s">
        <v>2410</v>
      </c>
      <c r="C124" s="408"/>
      <c r="D124" s="408"/>
      <c r="E124" s="408"/>
      <c r="F124" s="408"/>
      <c r="G124" s="408"/>
      <c r="H124" s="408"/>
      <c r="I124" s="408"/>
      <c r="J124" s="408"/>
    </row>
    <row r="125" spans="1:10" ht="13.5" customHeight="1">
      <c r="A125" s="226" t="s">
        <v>676</v>
      </c>
      <c r="B125" s="408" t="s">
        <v>2411</v>
      </c>
      <c r="C125" s="408"/>
      <c r="D125" s="408"/>
      <c r="E125" s="408"/>
      <c r="F125" s="408"/>
      <c r="G125" s="408"/>
      <c r="H125" s="408"/>
      <c r="I125" s="408"/>
      <c r="J125" s="408"/>
    </row>
    <row r="126" spans="1:10" ht="13.5" customHeight="1">
      <c r="A126" s="226" t="s">
        <v>678</v>
      </c>
      <c r="B126" s="408" t="s">
        <v>2412</v>
      </c>
      <c r="C126" s="408"/>
      <c r="D126" s="408"/>
      <c r="E126" s="408"/>
      <c r="F126" s="408"/>
      <c r="G126" s="408"/>
      <c r="H126" s="408"/>
      <c r="I126" s="408"/>
      <c r="J126" s="408"/>
    </row>
    <row r="127" spans="1:10" ht="13.5" customHeight="1">
      <c r="A127" s="226" t="s">
        <v>680</v>
      </c>
      <c r="B127" s="408" t="s">
        <v>2413</v>
      </c>
      <c r="C127" s="408"/>
      <c r="D127" s="408"/>
      <c r="E127" s="408"/>
      <c r="F127" s="408"/>
      <c r="G127" s="408"/>
      <c r="H127" s="408"/>
      <c r="I127" s="408"/>
      <c r="J127" s="408"/>
    </row>
    <row r="128" spans="1:10" ht="13.5" customHeight="1">
      <c r="A128" s="226" t="s">
        <v>682</v>
      </c>
      <c r="B128" s="408" t="s">
        <v>2414</v>
      </c>
      <c r="C128" s="408"/>
      <c r="D128" s="408"/>
      <c r="E128" s="408"/>
      <c r="F128" s="408"/>
      <c r="G128" s="408"/>
      <c r="H128" s="408"/>
      <c r="I128" s="408"/>
      <c r="J128" s="408"/>
    </row>
    <row r="129" spans="1:10" ht="13.5" customHeight="1">
      <c r="A129" s="226" t="s">
        <v>684</v>
      </c>
      <c r="B129" s="408" t="s">
        <v>2415</v>
      </c>
      <c r="C129" s="408"/>
      <c r="D129" s="408"/>
      <c r="E129" s="408"/>
      <c r="F129" s="408"/>
      <c r="G129" s="408"/>
      <c r="H129" s="408"/>
      <c r="I129" s="408"/>
      <c r="J129" s="408"/>
    </row>
    <row r="130" spans="1:10" ht="13.5" customHeight="1">
      <c r="A130" s="226" t="s">
        <v>686</v>
      </c>
      <c r="B130" s="408" t="s">
        <v>2416</v>
      </c>
      <c r="C130" s="408"/>
      <c r="D130" s="408"/>
      <c r="E130" s="408"/>
      <c r="F130" s="408"/>
      <c r="G130" s="408"/>
      <c r="H130" s="408"/>
      <c r="I130" s="408"/>
      <c r="J130" s="408"/>
    </row>
    <row r="131" spans="1:10" ht="13.5" customHeight="1">
      <c r="A131" s="226" t="s">
        <v>688</v>
      </c>
      <c r="B131" s="408" t="s">
        <v>2417</v>
      </c>
      <c r="C131" s="408"/>
      <c r="D131" s="408"/>
      <c r="E131" s="408"/>
      <c r="F131" s="408"/>
      <c r="G131" s="408"/>
      <c r="H131" s="408"/>
      <c r="I131" s="408"/>
      <c r="J131" s="408"/>
    </row>
    <row r="132" spans="1:10" ht="13.5" customHeight="1">
      <c r="A132" s="226" t="s">
        <v>690</v>
      </c>
      <c r="B132" s="408" t="s">
        <v>2418</v>
      </c>
      <c r="C132" s="408"/>
      <c r="D132" s="408"/>
      <c r="E132" s="408"/>
      <c r="F132" s="408"/>
      <c r="G132" s="408"/>
      <c r="H132" s="408"/>
      <c r="I132" s="408"/>
      <c r="J132" s="408"/>
    </row>
    <row r="133" spans="1:10" ht="13.5" customHeight="1">
      <c r="A133" s="226" t="s">
        <v>692</v>
      </c>
      <c r="B133" s="408" t="s">
        <v>2419</v>
      </c>
      <c r="C133" s="408"/>
      <c r="D133" s="408"/>
      <c r="E133" s="408"/>
      <c r="F133" s="408"/>
      <c r="G133" s="408"/>
      <c r="H133" s="408"/>
      <c r="I133" s="408"/>
      <c r="J133" s="408"/>
    </row>
    <row r="134" spans="1:10" ht="13.5" customHeight="1">
      <c r="A134" s="226" t="s">
        <v>694</v>
      </c>
      <c r="B134" s="408" t="s">
        <v>2420</v>
      </c>
      <c r="C134" s="408"/>
      <c r="D134" s="408"/>
      <c r="E134" s="408"/>
      <c r="F134" s="408"/>
      <c r="G134" s="408"/>
      <c r="H134" s="408"/>
      <c r="I134" s="408"/>
      <c r="J134" s="408"/>
    </row>
    <row r="135" spans="1:10" ht="13.5" customHeight="1">
      <c r="A135" s="226" t="s">
        <v>696</v>
      </c>
      <c r="B135" s="408" t="s">
        <v>2421</v>
      </c>
      <c r="C135" s="408"/>
      <c r="D135" s="408"/>
      <c r="E135" s="408"/>
      <c r="F135" s="408"/>
      <c r="G135" s="408"/>
      <c r="H135" s="408"/>
      <c r="I135" s="408"/>
      <c r="J135" s="408"/>
    </row>
    <row r="136" spans="1:10" ht="13.5" customHeight="1">
      <c r="A136" s="226" t="s">
        <v>698</v>
      </c>
      <c r="B136" s="408" t="s">
        <v>2422</v>
      </c>
      <c r="C136" s="408"/>
      <c r="D136" s="408"/>
      <c r="E136" s="408"/>
      <c r="F136" s="408"/>
      <c r="G136" s="408"/>
      <c r="H136" s="408"/>
      <c r="I136" s="408"/>
      <c r="J136" s="408"/>
    </row>
    <row r="137" spans="1:10" ht="13.5" customHeight="1">
      <c r="A137" s="226" t="s">
        <v>700</v>
      </c>
      <c r="B137" s="408" t="s">
        <v>2423</v>
      </c>
      <c r="C137" s="408"/>
      <c r="D137" s="408"/>
      <c r="E137" s="408"/>
      <c r="F137" s="408"/>
      <c r="G137" s="408"/>
      <c r="H137" s="408"/>
      <c r="I137" s="408"/>
      <c r="J137" s="408"/>
    </row>
    <row r="138" spans="1:10" ht="13.5" customHeight="1">
      <c r="A138" s="226" t="s">
        <v>702</v>
      </c>
      <c r="B138" s="408" t="s">
        <v>2424</v>
      </c>
      <c r="C138" s="408"/>
      <c r="D138" s="408"/>
      <c r="E138" s="408"/>
      <c r="F138" s="408"/>
      <c r="G138" s="408"/>
      <c r="H138" s="408"/>
      <c r="I138" s="408"/>
      <c r="J138" s="408"/>
    </row>
    <row r="139" spans="1:10" ht="13.5" customHeight="1">
      <c r="A139" s="226" t="s">
        <v>704</v>
      </c>
      <c r="B139" s="408" t="s">
        <v>2425</v>
      </c>
      <c r="C139" s="408"/>
      <c r="D139" s="408"/>
      <c r="E139" s="408"/>
      <c r="F139" s="408"/>
      <c r="G139" s="408"/>
      <c r="H139" s="408"/>
      <c r="I139" s="408"/>
      <c r="J139" s="408"/>
    </row>
    <row r="140" spans="1:10" ht="13.5" customHeight="1">
      <c r="A140" s="226" t="s">
        <v>706</v>
      </c>
      <c r="B140" s="408" t="s">
        <v>2426</v>
      </c>
      <c r="C140" s="408"/>
      <c r="D140" s="408"/>
      <c r="E140" s="408"/>
      <c r="F140" s="408"/>
      <c r="G140" s="408"/>
      <c r="H140" s="408"/>
      <c r="I140" s="408"/>
      <c r="J140" s="408"/>
    </row>
    <row r="141" spans="1:10" ht="13.5" customHeight="1">
      <c r="A141" s="226" t="s">
        <v>708</v>
      </c>
      <c r="B141" s="408" t="s">
        <v>2427</v>
      </c>
      <c r="C141" s="408"/>
      <c r="D141" s="408"/>
      <c r="E141" s="408"/>
      <c r="F141" s="408"/>
      <c r="G141" s="408"/>
      <c r="H141" s="408"/>
      <c r="I141" s="408"/>
      <c r="J141" s="408"/>
    </row>
    <row r="142" spans="1:10" ht="13.5" customHeight="1">
      <c r="A142" s="226" t="s">
        <v>710</v>
      </c>
      <c r="B142" s="408" t="s">
        <v>2428</v>
      </c>
      <c r="C142" s="408"/>
      <c r="D142" s="408"/>
      <c r="E142" s="408"/>
      <c r="F142" s="408"/>
      <c r="G142" s="408"/>
      <c r="H142" s="408"/>
      <c r="I142" s="408"/>
      <c r="J142" s="408"/>
    </row>
    <row r="143" spans="1:10" ht="13.5" customHeight="1">
      <c r="A143" s="226" t="s">
        <v>712</v>
      </c>
      <c r="B143" s="408" t="s">
        <v>2429</v>
      </c>
      <c r="C143" s="408"/>
      <c r="D143" s="408"/>
      <c r="E143" s="408"/>
      <c r="F143" s="408"/>
      <c r="G143" s="408"/>
      <c r="H143" s="408"/>
      <c r="I143" s="408"/>
      <c r="J143" s="408"/>
    </row>
    <row r="144" spans="1:10" ht="13.5" customHeight="1">
      <c r="A144" s="226" t="s">
        <v>714</v>
      </c>
      <c r="B144" s="408" t="s">
        <v>2430</v>
      </c>
      <c r="C144" s="408"/>
      <c r="D144" s="408"/>
      <c r="E144" s="408"/>
      <c r="F144" s="408"/>
      <c r="G144" s="408"/>
      <c r="H144" s="408"/>
      <c r="I144" s="408"/>
      <c r="J144" s="408"/>
    </row>
    <row r="145" spans="1:10" ht="13.5" customHeight="1">
      <c r="A145" s="226" t="s">
        <v>716</v>
      </c>
      <c r="B145" s="408" t="s">
        <v>2431</v>
      </c>
      <c r="C145" s="408"/>
      <c r="D145" s="408"/>
      <c r="E145" s="408"/>
      <c r="F145" s="408"/>
      <c r="G145" s="408"/>
      <c r="H145" s="408"/>
      <c r="I145" s="408"/>
      <c r="J145" s="408"/>
    </row>
    <row r="146" spans="1:10" ht="13.5" customHeight="1">
      <c r="A146" s="226" t="s">
        <v>718</v>
      </c>
      <c r="B146" s="408" t="s">
        <v>2432</v>
      </c>
      <c r="C146" s="408"/>
      <c r="D146" s="408"/>
      <c r="E146" s="408"/>
      <c r="F146" s="408"/>
      <c r="G146" s="408"/>
      <c r="H146" s="408"/>
      <c r="I146" s="408"/>
      <c r="J146" s="408"/>
    </row>
    <row r="147" spans="1:10" ht="13.5" customHeight="1">
      <c r="A147" s="226" t="s">
        <v>720</v>
      </c>
      <c r="B147" s="408" t="s">
        <v>2433</v>
      </c>
      <c r="C147" s="408"/>
      <c r="D147" s="408"/>
      <c r="E147" s="408"/>
      <c r="F147" s="408"/>
      <c r="G147" s="408"/>
      <c r="H147" s="408"/>
      <c r="I147" s="408"/>
      <c r="J147" s="408"/>
    </row>
    <row r="148" spans="1:10" ht="13.5" customHeight="1">
      <c r="A148" s="226" t="s">
        <v>722</v>
      </c>
      <c r="B148" s="408" t="s">
        <v>2434</v>
      </c>
      <c r="C148" s="408"/>
      <c r="D148" s="408"/>
      <c r="E148" s="408"/>
      <c r="F148" s="408"/>
      <c r="G148" s="408"/>
      <c r="H148" s="408"/>
      <c r="I148" s="408"/>
      <c r="J148" s="408"/>
    </row>
    <row r="149" spans="1:10" ht="13.5" customHeight="1">
      <c r="A149" s="226" t="s">
        <v>724</v>
      </c>
      <c r="B149" s="408" t="s">
        <v>2435</v>
      </c>
      <c r="C149" s="408"/>
      <c r="D149" s="408"/>
      <c r="E149" s="408"/>
      <c r="F149" s="408"/>
      <c r="G149" s="408"/>
      <c r="H149" s="408"/>
      <c r="I149" s="408"/>
      <c r="J149" s="408"/>
    </row>
    <row r="150" spans="1:10" ht="13.5" customHeight="1">
      <c r="A150" s="226" t="s">
        <v>726</v>
      </c>
      <c r="B150" s="408" t="s">
        <v>2436</v>
      </c>
      <c r="C150" s="408"/>
      <c r="D150" s="408"/>
      <c r="E150" s="408"/>
      <c r="F150" s="408"/>
      <c r="G150" s="408"/>
      <c r="H150" s="408"/>
      <c r="I150" s="408"/>
      <c r="J150" s="408"/>
    </row>
    <row r="151" spans="1:10" ht="13.5" customHeight="1">
      <c r="A151" s="226" t="s">
        <v>728</v>
      </c>
      <c r="B151" s="408" t="s">
        <v>2437</v>
      </c>
      <c r="C151" s="408"/>
      <c r="D151" s="408"/>
      <c r="E151" s="408"/>
      <c r="F151" s="408"/>
      <c r="G151" s="408"/>
      <c r="H151" s="408"/>
      <c r="I151" s="408"/>
      <c r="J151" s="408"/>
    </row>
    <row r="152" spans="1:10" ht="13.5" customHeight="1">
      <c r="A152" s="226" t="s">
        <v>730</v>
      </c>
      <c r="B152" s="408" t="s">
        <v>2438</v>
      </c>
      <c r="C152" s="408"/>
      <c r="D152" s="408"/>
      <c r="E152" s="408"/>
      <c r="F152" s="408"/>
      <c r="G152" s="408"/>
      <c r="H152" s="408"/>
      <c r="I152" s="408"/>
      <c r="J152" s="408"/>
    </row>
    <row r="153" spans="1:10" ht="13.5" customHeight="1">
      <c r="A153" s="226" t="s">
        <v>732</v>
      </c>
      <c r="B153" s="408" t="s">
        <v>2439</v>
      </c>
      <c r="C153" s="408"/>
      <c r="D153" s="408"/>
      <c r="E153" s="408"/>
      <c r="F153" s="408"/>
      <c r="G153" s="408"/>
      <c r="H153" s="408"/>
      <c r="I153" s="408"/>
      <c r="J153" s="408"/>
    </row>
    <row r="154" spans="1:10" ht="13.5" customHeight="1">
      <c r="A154" s="226" t="s">
        <v>734</v>
      </c>
      <c r="B154" s="408" t="s">
        <v>2440</v>
      </c>
      <c r="C154" s="408"/>
      <c r="D154" s="408"/>
      <c r="E154" s="408"/>
      <c r="F154" s="408"/>
      <c r="G154" s="408"/>
      <c r="H154" s="408"/>
      <c r="I154" s="408"/>
      <c r="J154" s="408"/>
    </row>
    <row r="155" spans="1:10" ht="13.5" customHeight="1">
      <c r="A155" s="226" t="s">
        <v>736</v>
      </c>
      <c r="B155" s="408" t="s">
        <v>2441</v>
      </c>
      <c r="C155" s="408"/>
      <c r="D155" s="408"/>
      <c r="E155" s="408"/>
      <c r="F155" s="408"/>
      <c r="G155" s="408"/>
      <c r="H155" s="408"/>
      <c r="I155" s="408"/>
      <c r="J155" s="408"/>
    </row>
    <row r="156" spans="1:10" ht="13.5" customHeight="1">
      <c r="A156" s="226" t="s">
        <v>738</v>
      </c>
      <c r="B156" s="408" t="s">
        <v>2442</v>
      </c>
      <c r="C156" s="408"/>
      <c r="D156" s="408"/>
      <c r="E156" s="408"/>
      <c r="F156" s="408"/>
      <c r="G156" s="408"/>
      <c r="H156" s="408"/>
      <c r="I156" s="408"/>
      <c r="J156" s="408"/>
    </row>
    <row r="157" spans="1:10" ht="13.5" customHeight="1">
      <c r="A157" s="226" t="s">
        <v>740</v>
      </c>
      <c r="B157" s="408" t="s">
        <v>2443</v>
      </c>
      <c r="C157" s="408"/>
      <c r="D157" s="408"/>
      <c r="E157" s="408"/>
      <c r="F157" s="408"/>
      <c r="G157" s="408"/>
      <c r="H157" s="408"/>
      <c r="I157" s="408"/>
      <c r="J157" s="408"/>
    </row>
    <row r="158" spans="1:10" ht="13.5" customHeight="1">
      <c r="A158" s="226" t="s">
        <v>742</v>
      </c>
      <c r="B158" s="408" t="s">
        <v>2444</v>
      </c>
      <c r="C158" s="408"/>
      <c r="D158" s="408"/>
      <c r="E158" s="408"/>
      <c r="F158" s="408"/>
      <c r="G158" s="408"/>
      <c r="H158" s="408"/>
      <c r="I158" s="408"/>
      <c r="J158" s="408"/>
    </row>
    <row r="159" spans="1:10" ht="13.5" customHeight="1">
      <c r="A159" s="226" t="s">
        <v>744</v>
      </c>
      <c r="B159" s="408" t="s">
        <v>2445</v>
      </c>
      <c r="C159" s="408"/>
      <c r="D159" s="408"/>
      <c r="E159" s="408"/>
      <c r="F159" s="408"/>
      <c r="G159" s="408"/>
      <c r="H159" s="408"/>
      <c r="I159" s="408"/>
      <c r="J159" s="408"/>
    </row>
    <row r="160" spans="1:10" ht="13.5" customHeight="1">
      <c r="A160" s="226" t="s">
        <v>746</v>
      </c>
      <c r="B160" s="408" t="s">
        <v>2446</v>
      </c>
      <c r="C160" s="408"/>
      <c r="D160" s="408"/>
      <c r="E160" s="408"/>
      <c r="F160" s="408"/>
      <c r="G160" s="408"/>
      <c r="H160" s="408"/>
      <c r="I160" s="408"/>
      <c r="J160" s="408"/>
    </row>
    <row r="161" spans="1:10" ht="13.5" customHeight="1">
      <c r="A161" s="226" t="s">
        <v>748</v>
      </c>
      <c r="B161" s="408" t="s">
        <v>2447</v>
      </c>
      <c r="C161" s="408"/>
      <c r="D161" s="408"/>
      <c r="E161" s="408"/>
      <c r="F161" s="408"/>
      <c r="G161" s="408"/>
      <c r="H161" s="408"/>
      <c r="I161" s="408"/>
      <c r="J161" s="408"/>
    </row>
    <row r="162" spans="1:10" ht="13.5" customHeight="1">
      <c r="A162" s="226" t="s">
        <v>750</v>
      </c>
      <c r="B162" s="408" t="s">
        <v>2448</v>
      </c>
      <c r="C162" s="408"/>
      <c r="D162" s="408"/>
      <c r="E162" s="408"/>
      <c r="F162" s="408"/>
      <c r="G162" s="408"/>
      <c r="H162" s="408"/>
      <c r="I162" s="408"/>
      <c r="J162" s="408"/>
    </row>
    <row r="163" spans="1:10" ht="13.5" customHeight="1">
      <c r="A163" s="226" t="s">
        <v>752</v>
      </c>
      <c r="B163" s="408" t="s">
        <v>2449</v>
      </c>
      <c r="C163" s="408"/>
      <c r="D163" s="408"/>
      <c r="E163" s="408"/>
      <c r="F163" s="408"/>
      <c r="G163" s="408"/>
      <c r="H163" s="408"/>
      <c r="I163" s="408"/>
      <c r="J163" s="408"/>
    </row>
    <row r="164" spans="1:10" ht="13.5" customHeight="1">
      <c r="A164" s="226" t="s">
        <v>754</v>
      </c>
      <c r="B164" s="408" t="s">
        <v>2450</v>
      </c>
      <c r="C164" s="408"/>
      <c r="D164" s="408"/>
      <c r="E164" s="408"/>
      <c r="F164" s="408"/>
      <c r="G164" s="408"/>
      <c r="H164" s="408"/>
      <c r="I164" s="408"/>
      <c r="J164" s="408"/>
    </row>
    <row r="165" spans="1:10" ht="13.5" customHeight="1">
      <c r="A165" s="226" t="s">
        <v>756</v>
      </c>
      <c r="B165" s="408" t="s">
        <v>2451</v>
      </c>
      <c r="C165" s="408"/>
      <c r="D165" s="408"/>
      <c r="E165" s="408"/>
      <c r="F165" s="408"/>
      <c r="G165" s="408"/>
      <c r="H165" s="408"/>
      <c r="I165" s="408"/>
      <c r="J165" s="408"/>
    </row>
    <row r="166" spans="1:10" ht="13.5" customHeight="1">
      <c r="A166" s="226" t="s">
        <v>758</v>
      </c>
      <c r="B166" s="408" t="s">
        <v>2452</v>
      </c>
      <c r="C166" s="408"/>
      <c r="D166" s="408"/>
      <c r="E166" s="408"/>
      <c r="F166" s="408"/>
      <c r="G166" s="408"/>
      <c r="H166" s="408"/>
      <c r="I166" s="408"/>
      <c r="J166" s="408"/>
    </row>
    <row r="167" spans="1:10" ht="13.5" customHeight="1">
      <c r="A167" s="226" t="s">
        <v>760</v>
      </c>
      <c r="B167" s="408" t="s">
        <v>2453</v>
      </c>
      <c r="C167" s="408"/>
      <c r="D167" s="408"/>
      <c r="E167" s="408"/>
      <c r="F167" s="408"/>
      <c r="G167" s="408"/>
      <c r="H167" s="408"/>
      <c r="I167" s="408"/>
      <c r="J167" s="408"/>
    </row>
    <row r="168" spans="1:10" ht="13.5" customHeight="1">
      <c r="A168" s="226" t="s">
        <v>762</v>
      </c>
      <c r="B168" s="408" t="s">
        <v>2454</v>
      </c>
      <c r="C168" s="408"/>
      <c r="D168" s="408"/>
      <c r="E168" s="408"/>
      <c r="F168" s="408"/>
      <c r="G168" s="408"/>
      <c r="H168" s="408"/>
      <c r="I168" s="408"/>
      <c r="J168" s="408"/>
    </row>
    <row r="169" spans="1:10" ht="13.5" customHeight="1">
      <c r="A169" s="226" t="s">
        <v>764</v>
      </c>
      <c r="B169" s="408" t="s">
        <v>2455</v>
      </c>
      <c r="C169" s="408"/>
      <c r="D169" s="408"/>
      <c r="E169" s="408"/>
      <c r="F169" s="408"/>
      <c r="G169" s="408"/>
      <c r="H169" s="408"/>
      <c r="I169" s="408"/>
      <c r="J169" s="408"/>
    </row>
    <row r="170" spans="1:10" ht="13.5" customHeight="1">
      <c r="A170" s="226" t="s">
        <v>766</v>
      </c>
      <c r="B170" s="408" t="s">
        <v>2456</v>
      </c>
      <c r="C170" s="408"/>
      <c r="D170" s="408"/>
      <c r="E170" s="408"/>
      <c r="F170" s="408"/>
      <c r="G170" s="408"/>
      <c r="H170" s="408"/>
      <c r="I170" s="408"/>
      <c r="J170" s="408"/>
    </row>
    <row r="171" spans="1:10" ht="13.5" customHeight="1">
      <c r="A171" s="226" t="s">
        <v>768</v>
      </c>
      <c r="B171" s="408" t="s">
        <v>2457</v>
      </c>
      <c r="C171" s="408"/>
      <c r="D171" s="408"/>
      <c r="E171" s="408"/>
      <c r="F171" s="408"/>
      <c r="G171" s="408"/>
      <c r="H171" s="408"/>
      <c r="I171" s="408"/>
      <c r="J171" s="408"/>
    </row>
    <row r="172" spans="1:10" ht="13.5" customHeight="1">
      <c r="A172" s="226" t="s">
        <v>770</v>
      </c>
      <c r="B172" s="408" t="s">
        <v>2458</v>
      </c>
      <c r="C172" s="408"/>
      <c r="D172" s="408"/>
      <c r="E172" s="408"/>
      <c r="F172" s="408"/>
      <c r="G172" s="408"/>
      <c r="H172" s="408"/>
      <c r="I172" s="408"/>
      <c r="J172" s="408"/>
    </row>
    <row r="173" spans="1:10" ht="13.5" customHeight="1">
      <c r="A173" s="226" t="s">
        <v>772</v>
      </c>
      <c r="B173" s="408" t="s">
        <v>2459</v>
      </c>
      <c r="C173" s="408"/>
      <c r="D173" s="408"/>
      <c r="E173" s="408"/>
      <c r="F173" s="408"/>
      <c r="G173" s="408"/>
      <c r="H173" s="408"/>
      <c r="I173" s="408"/>
      <c r="J173" s="408"/>
    </row>
    <row r="174" spans="1:10" ht="13.5" customHeight="1">
      <c r="A174" s="226" t="s">
        <v>774</v>
      </c>
      <c r="B174" s="408" t="s">
        <v>2460</v>
      </c>
      <c r="C174" s="408"/>
      <c r="D174" s="408"/>
      <c r="E174" s="408"/>
      <c r="F174" s="408"/>
      <c r="G174" s="408"/>
      <c r="H174" s="408"/>
      <c r="I174" s="408"/>
      <c r="J174" s="408"/>
    </row>
    <row r="175" spans="1:10" ht="13.5" customHeight="1">
      <c r="A175" s="226" t="s">
        <v>776</v>
      </c>
      <c r="B175" s="408" t="s">
        <v>2461</v>
      </c>
      <c r="C175" s="408"/>
      <c r="D175" s="408"/>
      <c r="E175" s="408"/>
      <c r="F175" s="408"/>
      <c r="G175" s="408"/>
      <c r="H175" s="408"/>
      <c r="I175" s="408"/>
      <c r="J175" s="408"/>
    </row>
    <row r="176" spans="1:10" ht="13.5" customHeight="1">
      <c r="A176" s="226" t="s">
        <v>778</v>
      </c>
      <c r="B176" s="408" t="s">
        <v>2462</v>
      </c>
      <c r="C176" s="408"/>
      <c r="D176" s="408"/>
      <c r="E176" s="408"/>
      <c r="F176" s="408"/>
      <c r="G176" s="408"/>
      <c r="H176" s="408"/>
      <c r="I176" s="408"/>
      <c r="J176" s="408"/>
    </row>
    <row r="177" spans="1:10" ht="13.5" customHeight="1">
      <c r="A177" s="226" t="s">
        <v>780</v>
      </c>
      <c r="B177" s="408" t="s">
        <v>2463</v>
      </c>
      <c r="C177" s="408"/>
      <c r="D177" s="408"/>
      <c r="E177" s="408"/>
      <c r="F177" s="408"/>
      <c r="G177" s="408"/>
      <c r="H177" s="408"/>
      <c r="I177" s="408"/>
      <c r="J177" s="408"/>
    </row>
    <row r="178" spans="1:10" ht="13.5" customHeight="1">
      <c r="A178" s="226" t="s">
        <v>782</v>
      </c>
      <c r="B178" s="408" t="s">
        <v>2464</v>
      </c>
      <c r="C178" s="408"/>
      <c r="D178" s="408"/>
      <c r="E178" s="408"/>
      <c r="F178" s="408"/>
      <c r="G178" s="408"/>
      <c r="H178" s="408"/>
      <c r="I178" s="408"/>
      <c r="J178" s="408"/>
    </row>
    <row r="179" spans="1:10" ht="13.5" customHeight="1">
      <c r="A179" s="226" t="s">
        <v>784</v>
      </c>
      <c r="B179" s="408" t="s">
        <v>2465</v>
      </c>
      <c r="C179" s="408"/>
      <c r="D179" s="408"/>
      <c r="E179" s="408"/>
      <c r="F179" s="408"/>
      <c r="G179" s="408"/>
      <c r="H179" s="408"/>
      <c r="I179" s="408"/>
      <c r="J179" s="408"/>
    </row>
    <row r="180" spans="1:10" ht="13.5" customHeight="1">
      <c r="A180" s="226" t="s">
        <v>786</v>
      </c>
      <c r="B180" s="408" t="s">
        <v>2466</v>
      </c>
      <c r="C180" s="408"/>
      <c r="D180" s="408"/>
      <c r="E180" s="408"/>
      <c r="F180" s="408"/>
      <c r="G180" s="408"/>
      <c r="H180" s="408"/>
      <c r="I180" s="408"/>
      <c r="J180" s="408"/>
    </row>
    <row r="181" spans="1:10" ht="13.5" customHeight="1">
      <c r="A181" s="226" t="s">
        <v>788</v>
      </c>
      <c r="B181" s="408" t="s">
        <v>2467</v>
      </c>
      <c r="C181" s="408"/>
      <c r="D181" s="408"/>
      <c r="E181" s="408"/>
      <c r="F181" s="408"/>
      <c r="G181" s="408"/>
      <c r="H181" s="408"/>
      <c r="I181" s="408"/>
      <c r="J181" s="408"/>
    </row>
    <row r="182" spans="1:10" ht="13.5" customHeight="1">
      <c r="A182" s="226" t="s">
        <v>790</v>
      </c>
      <c r="B182" s="408" t="s">
        <v>2468</v>
      </c>
      <c r="C182" s="408"/>
      <c r="D182" s="408"/>
      <c r="E182" s="408"/>
      <c r="F182" s="408"/>
      <c r="G182" s="408"/>
      <c r="H182" s="408"/>
      <c r="I182" s="408"/>
      <c r="J182" s="408"/>
    </row>
    <row r="183" spans="1:10" ht="13.5" customHeight="1">
      <c r="A183" s="226" t="s">
        <v>792</v>
      </c>
      <c r="B183" s="408" t="s">
        <v>2469</v>
      </c>
      <c r="C183" s="408"/>
      <c r="D183" s="408"/>
      <c r="E183" s="408"/>
      <c r="F183" s="408"/>
      <c r="G183" s="408"/>
      <c r="H183" s="408"/>
      <c r="I183" s="408"/>
      <c r="J183" s="408"/>
    </row>
    <row r="184" spans="1:10" ht="13.5" customHeight="1">
      <c r="A184" s="226" t="s">
        <v>794</v>
      </c>
      <c r="B184" s="408" t="s">
        <v>2470</v>
      </c>
      <c r="C184" s="408"/>
      <c r="D184" s="408"/>
      <c r="E184" s="408"/>
      <c r="F184" s="408"/>
      <c r="G184" s="408"/>
      <c r="H184" s="408"/>
      <c r="I184" s="408"/>
      <c r="J184" s="408"/>
    </row>
    <row r="185" spans="1:10" ht="13.5" customHeight="1">
      <c r="A185" s="226" t="s">
        <v>796</v>
      </c>
      <c r="B185" s="408" t="s">
        <v>2471</v>
      </c>
      <c r="C185" s="408"/>
      <c r="D185" s="408"/>
      <c r="E185" s="408"/>
      <c r="F185" s="408"/>
      <c r="G185" s="408"/>
      <c r="H185" s="408"/>
      <c r="I185" s="408"/>
      <c r="J185" s="408"/>
    </row>
    <row r="186" spans="1:10" ht="13.5" customHeight="1">
      <c r="A186" s="226" t="s">
        <v>798</v>
      </c>
      <c r="B186" s="408" t="s">
        <v>2472</v>
      </c>
      <c r="C186" s="408"/>
      <c r="D186" s="408"/>
      <c r="E186" s="408"/>
      <c r="F186" s="408"/>
      <c r="G186" s="408"/>
      <c r="H186" s="408"/>
      <c r="I186" s="408"/>
      <c r="J186" s="408"/>
    </row>
    <row r="187" spans="1:10" ht="13.5" customHeight="1">
      <c r="A187" s="226" t="s">
        <v>800</v>
      </c>
      <c r="B187" s="408" t="s">
        <v>2473</v>
      </c>
      <c r="C187" s="408"/>
      <c r="D187" s="408"/>
      <c r="E187" s="408"/>
      <c r="F187" s="408"/>
      <c r="G187" s="408"/>
      <c r="H187" s="408"/>
      <c r="I187" s="408"/>
      <c r="J187" s="408"/>
    </row>
    <row r="188" spans="1:10" ht="13.5" customHeight="1">
      <c r="A188" s="226" t="s">
        <v>802</v>
      </c>
      <c r="B188" s="408" t="s">
        <v>2474</v>
      </c>
      <c r="C188" s="408"/>
      <c r="D188" s="408"/>
      <c r="E188" s="408"/>
      <c r="F188" s="408"/>
      <c r="G188" s="408"/>
      <c r="H188" s="408"/>
      <c r="I188" s="408"/>
      <c r="J188" s="408"/>
    </row>
    <row r="189" spans="1:10" ht="13.5" customHeight="1">
      <c r="A189" s="226" t="s">
        <v>804</v>
      </c>
      <c r="B189" s="408" t="s">
        <v>2475</v>
      </c>
      <c r="C189" s="408"/>
      <c r="D189" s="408"/>
      <c r="E189" s="408"/>
      <c r="F189" s="408"/>
      <c r="G189" s="408"/>
      <c r="H189" s="408"/>
      <c r="I189" s="408"/>
      <c r="J189" s="408"/>
    </row>
    <row r="190" spans="1:10" ht="13.5" customHeight="1">
      <c r="A190" s="226" t="s">
        <v>806</v>
      </c>
      <c r="B190" s="408" t="s">
        <v>2476</v>
      </c>
      <c r="C190" s="408"/>
      <c r="D190" s="408"/>
      <c r="E190" s="408"/>
      <c r="F190" s="408"/>
      <c r="G190" s="408"/>
      <c r="H190" s="408"/>
      <c r="I190" s="408"/>
      <c r="J190" s="408"/>
    </row>
    <row r="191" spans="1:10" ht="13.5" customHeight="1">
      <c r="A191" s="226" t="s">
        <v>808</v>
      </c>
      <c r="B191" s="408" t="s">
        <v>2477</v>
      </c>
      <c r="C191" s="408"/>
      <c r="D191" s="408"/>
      <c r="E191" s="408"/>
      <c r="F191" s="408"/>
      <c r="G191" s="408"/>
      <c r="H191" s="408"/>
      <c r="I191" s="408"/>
      <c r="J191" s="408"/>
    </row>
    <row r="192" spans="1:10" ht="13.5" customHeight="1">
      <c r="A192" s="226" t="s">
        <v>810</v>
      </c>
      <c r="B192" s="408" t="s">
        <v>2478</v>
      </c>
      <c r="C192" s="408"/>
      <c r="D192" s="408"/>
      <c r="E192" s="408"/>
      <c r="F192" s="408"/>
      <c r="G192" s="408"/>
      <c r="H192" s="408"/>
      <c r="I192" s="408"/>
      <c r="J192" s="408"/>
    </row>
    <row r="193" spans="1:10" ht="13.5" customHeight="1">
      <c r="A193" s="226" t="s">
        <v>812</v>
      </c>
      <c r="B193" s="408" t="s">
        <v>2479</v>
      </c>
      <c r="C193" s="408"/>
      <c r="D193" s="408"/>
      <c r="E193" s="408"/>
      <c r="F193" s="408"/>
      <c r="G193" s="408"/>
      <c r="H193" s="408"/>
      <c r="I193" s="408"/>
      <c r="J193" s="408"/>
    </row>
    <row r="194" spans="1:10" ht="13.5" customHeight="1">
      <c r="A194" s="226" t="s">
        <v>814</v>
      </c>
      <c r="B194" s="408" t="s">
        <v>2480</v>
      </c>
      <c r="C194" s="408"/>
      <c r="D194" s="408"/>
      <c r="E194" s="408"/>
      <c r="F194" s="408"/>
      <c r="G194" s="408"/>
      <c r="H194" s="408"/>
      <c r="I194" s="408"/>
      <c r="J194" s="408"/>
    </row>
    <row r="195" spans="1:10" ht="13.5" customHeight="1">
      <c r="A195" s="226" t="s">
        <v>816</v>
      </c>
      <c r="B195" s="408" t="s">
        <v>2481</v>
      </c>
      <c r="C195" s="408"/>
      <c r="D195" s="408"/>
      <c r="E195" s="408"/>
      <c r="F195" s="408"/>
      <c r="G195" s="408"/>
      <c r="H195" s="408"/>
      <c r="I195" s="408"/>
      <c r="J195" s="408"/>
    </row>
    <row r="196" spans="1:10" ht="13.5" customHeight="1">
      <c r="A196" s="226" t="s">
        <v>818</v>
      </c>
      <c r="B196" s="408" t="s">
        <v>2482</v>
      </c>
      <c r="C196" s="408"/>
      <c r="D196" s="408"/>
      <c r="E196" s="408"/>
      <c r="F196" s="408"/>
      <c r="G196" s="408"/>
      <c r="H196" s="408"/>
      <c r="I196" s="408"/>
      <c r="J196" s="408"/>
    </row>
    <row r="197" spans="1:10" ht="13.5" customHeight="1">
      <c r="A197" s="226" t="s">
        <v>820</v>
      </c>
      <c r="B197" s="408" t="s">
        <v>2483</v>
      </c>
      <c r="C197" s="408"/>
      <c r="D197" s="408"/>
      <c r="E197" s="408"/>
      <c r="F197" s="408"/>
      <c r="G197" s="408"/>
      <c r="H197" s="408"/>
      <c r="I197" s="408"/>
      <c r="J197" s="408"/>
    </row>
    <row r="198" spans="1:10" ht="13.5" customHeight="1">
      <c r="A198" s="226" t="s">
        <v>822</v>
      </c>
      <c r="B198" s="408" t="s">
        <v>2484</v>
      </c>
      <c r="C198" s="408"/>
      <c r="D198" s="408"/>
      <c r="E198" s="408"/>
      <c r="F198" s="408"/>
      <c r="G198" s="408"/>
      <c r="H198" s="408"/>
      <c r="I198" s="408"/>
      <c r="J198" s="408"/>
    </row>
    <row r="199" spans="1:10" ht="13.5" customHeight="1">
      <c r="A199" s="226" t="s">
        <v>824</v>
      </c>
      <c r="B199" s="408" t="s">
        <v>2485</v>
      </c>
      <c r="C199" s="408"/>
      <c r="D199" s="408"/>
      <c r="E199" s="408"/>
      <c r="F199" s="408"/>
      <c r="G199" s="408"/>
      <c r="H199" s="408"/>
      <c r="I199" s="408"/>
      <c r="J199" s="408"/>
    </row>
    <row r="200" spans="1:10" ht="13.5" customHeight="1">
      <c r="A200" s="226" t="s">
        <v>826</v>
      </c>
      <c r="B200" s="408" t="s">
        <v>2486</v>
      </c>
      <c r="C200" s="408"/>
      <c r="D200" s="408"/>
      <c r="E200" s="408"/>
      <c r="F200" s="408"/>
      <c r="G200" s="408"/>
      <c r="H200" s="408"/>
      <c r="I200" s="408"/>
      <c r="J200" s="408"/>
    </row>
    <row r="201" spans="1:10" ht="13.5" customHeight="1">
      <c r="A201" s="226" t="s">
        <v>828</v>
      </c>
      <c r="B201" s="408" t="s">
        <v>2487</v>
      </c>
      <c r="C201" s="408"/>
      <c r="D201" s="408"/>
      <c r="E201" s="408"/>
      <c r="F201" s="408"/>
      <c r="G201" s="408"/>
      <c r="H201" s="408"/>
      <c r="I201" s="408"/>
      <c r="J201" s="408"/>
    </row>
    <row r="202" spans="1:10" ht="13.5" customHeight="1">
      <c r="A202" s="226" t="s">
        <v>830</v>
      </c>
      <c r="B202" s="408" t="s">
        <v>2488</v>
      </c>
      <c r="C202" s="408"/>
      <c r="D202" s="408"/>
      <c r="E202" s="408"/>
      <c r="F202" s="408"/>
      <c r="G202" s="408"/>
      <c r="H202" s="408"/>
      <c r="I202" s="408"/>
      <c r="J202" s="408"/>
    </row>
    <row r="203" spans="1:10" ht="13.5" customHeight="1">
      <c r="A203" s="226" t="s">
        <v>832</v>
      </c>
      <c r="B203" s="408" t="s">
        <v>2489</v>
      </c>
      <c r="C203" s="408"/>
      <c r="D203" s="408"/>
      <c r="E203" s="408"/>
      <c r="F203" s="408"/>
      <c r="G203" s="408"/>
      <c r="H203" s="408"/>
      <c r="I203" s="408"/>
      <c r="J203" s="408"/>
    </row>
    <row r="204" spans="1:10" ht="13.5" customHeight="1">
      <c r="A204" s="226" t="s">
        <v>834</v>
      </c>
      <c r="B204" s="408" t="s">
        <v>2490</v>
      </c>
      <c r="C204" s="408"/>
      <c r="D204" s="408"/>
      <c r="E204" s="408"/>
      <c r="F204" s="408"/>
      <c r="G204" s="408"/>
      <c r="H204" s="408"/>
      <c r="I204" s="408"/>
      <c r="J204" s="408"/>
    </row>
    <row r="205" spans="1:10" ht="13.5" customHeight="1">
      <c r="A205" s="226" t="s">
        <v>836</v>
      </c>
      <c r="B205" s="408" t="s">
        <v>2491</v>
      </c>
      <c r="C205" s="408"/>
      <c r="D205" s="408"/>
      <c r="E205" s="408"/>
      <c r="F205" s="408"/>
      <c r="G205" s="408"/>
      <c r="H205" s="408"/>
      <c r="I205" s="408"/>
      <c r="J205" s="408"/>
    </row>
    <row r="206" spans="1:10" ht="13.5" customHeight="1">
      <c r="A206" s="226" t="s">
        <v>838</v>
      </c>
      <c r="B206" s="408" t="s">
        <v>2492</v>
      </c>
      <c r="C206" s="408"/>
      <c r="D206" s="408"/>
      <c r="E206" s="408"/>
      <c r="F206" s="408"/>
      <c r="G206" s="408"/>
      <c r="H206" s="408"/>
      <c r="I206" s="408"/>
      <c r="J206" s="408"/>
    </row>
    <row r="207" spans="1:10" ht="13.5" customHeight="1">
      <c r="A207" s="226" t="s">
        <v>840</v>
      </c>
      <c r="B207" s="408" t="s">
        <v>2493</v>
      </c>
      <c r="C207" s="408"/>
      <c r="D207" s="408"/>
      <c r="E207" s="408"/>
      <c r="F207" s="408"/>
      <c r="G207" s="408"/>
      <c r="H207" s="408"/>
      <c r="I207" s="408"/>
      <c r="J207" s="408"/>
    </row>
    <row r="208" spans="1:10" ht="13.5" customHeight="1">
      <c r="A208" s="226" t="s">
        <v>842</v>
      </c>
      <c r="B208" s="408" t="s">
        <v>2494</v>
      </c>
      <c r="C208" s="408"/>
      <c r="D208" s="408"/>
      <c r="E208" s="408"/>
      <c r="F208" s="408"/>
      <c r="G208" s="408"/>
      <c r="H208" s="408"/>
      <c r="I208" s="408"/>
      <c r="J208" s="408"/>
    </row>
    <row r="209" spans="1:10" ht="13.5" customHeight="1">
      <c r="A209" s="226" t="s">
        <v>844</v>
      </c>
      <c r="B209" s="408" t="s">
        <v>2495</v>
      </c>
      <c r="C209" s="408"/>
      <c r="D209" s="408"/>
      <c r="E209" s="408"/>
      <c r="F209" s="408"/>
      <c r="G209" s="408"/>
      <c r="H209" s="408"/>
      <c r="I209" s="408"/>
      <c r="J209" s="408"/>
    </row>
    <row r="210" spans="1:10" ht="13.5" customHeight="1">
      <c r="A210" s="226" t="s">
        <v>846</v>
      </c>
      <c r="B210" s="408" t="s">
        <v>2496</v>
      </c>
      <c r="C210" s="408"/>
      <c r="D210" s="408"/>
      <c r="E210" s="408"/>
      <c r="F210" s="408"/>
      <c r="G210" s="408"/>
      <c r="H210" s="408"/>
      <c r="I210" s="408"/>
      <c r="J210" s="408"/>
    </row>
    <row r="211" spans="1:10" ht="13.5" customHeight="1">
      <c r="A211" s="226" t="s">
        <v>848</v>
      </c>
      <c r="B211" s="408" t="s">
        <v>2497</v>
      </c>
      <c r="C211" s="408"/>
      <c r="D211" s="408"/>
      <c r="E211" s="408"/>
      <c r="F211" s="408"/>
      <c r="G211" s="408"/>
      <c r="H211" s="408"/>
      <c r="I211" s="408"/>
      <c r="J211" s="408"/>
    </row>
    <row r="212" spans="1:10" ht="13.5" customHeight="1">
      <c r="A212" s="226" t="s">
        <v>850</v>
      </c>
      <c r="B212" s="408" t="s">
        <v>2498</v>
      </c>
      <c r="C212" s="408"/>
      <c r="D212" s="408"/>
      <c r="E212" s="408"/>
      <c r="F212" s="408"/>
      <c r="G212" s="408"/>
      <c r="H212" s="408"/>
      <c r="I212" s="408"/>
      <c r="J212" s="408"/>
    </row>
    <row r="213" spans="1:10" ht="13.5" customHeight="1">
      <c r="A213" s="226" t="s">
        <v>852</v>
      </c>
      <c r="B213" s="408" t="s">
        <v>2499</v>
      </c>
      <c r="C213" s="408"/>
      <c r="D213" s="408"/>
      <c r="E213" s="408"/>
      <c r="F213" s="408"/>
      <c r="G213" s="408"/>
      <c r="H213" s="408"/>
      <c r="I213" s="408"/>
      <c r="J213" s="408"/>
    </row>
    <row r="214" spans="1:10" ht="13.5" customHeight="1">
      <c r="A214" s="226" t="s">
        <v>854</v>
      </c>
      <c r="B214" s="408" t="s">
        <v>2500</v>
      </c>
      <c r="C214" s="408"/>
      <c r="D214" s="408"/>
      <c r="E214" s="408"/>
      <c r="F214" s="408"/>
      <c r="G214" s="408"/>
      <c r="H214" s="408"/>
      <c r="I214" s="408"/>
      <c r="J214" s="408"/>
    </row>
    <row r="215" spans="1:10" ht="13.5" customHeight="1">
      <c r="A215" s="226" t="s">
        <v>856</v>
      </c>
      <c r="B215" s="408" t="s">
        <v>2501</v>
      </c>
      <c r="C215" s="408"/>
      <c r="D215" s="408"/>
      <c r="E215" s="408"/>
      <c r="F215" s="408"/>
      <c r="G215" s="408"/>
      <c r="H215" s="408"/>
      <c r="I215" s="408"/>
      <c r="J215" s="408"/>
    </row>
    <row r="216" spans="1:10" ht="13.5" customHeight="1">
      <c r="A216" s="226" t="s">
        <v>858</v>
      </c>
      <c r="B216" s="408" t="s">
        <v>2502</v>
      </c>
      <c r="C216" s="408"/>
      <c r="D216" s="408"/>
      <c r="E216" s="408"/>
      <c r="F216" s="408"/>
      <c r="G216" s="408"/>
      <c r="H216" s="408"/>
      <c r="I216" s="408"/>
      <c r="J216" s="408"/>
    </row>
    <row r="217" spans="1:10" ht="13.5" customHeight="1">
      <c r="A217" s="226" t="s">
        <v>860</v>
      </c>
      <c r="B217" s="408" t="s">
        <v>2503</v>
      </c>
      <c r="C217" s="408"/>
      <c r="D217" s="408"/>
      <c r="E217" s="408"/>
      <c r="F217" s="408"/>
      <c r="G217" s="408"/>
      <c r="H217" s="408"/>
      <c r="I217" s="408"/>
      <c r="J217" s="408"/>
    </row>
    <row r="218" spans="1:10" ht="13.5" customHeight="1">
      <c r="A218" s="226" t="s">
        <v>862</v>
      </c>
      <c r="B218" s="408" t="s">
        <v>2504</v>
      </c>
      <c r="C218" s="408"/>
      <c r="D218" s="408"/>
      <c r="E218" s="408"/>
      <c r="F218" s="408"/>
      <c r="G218" s="408"/>
      <c r="H218" s="408"/>
      <c r="I218" s="408"/>
      <c r="J218" s="408"/>
    </row>
    <row r="219" spans="1:10" ht="13.5" customHeight="1">
      <c r="A219" s="226" t="s">
        <v>864</v>
      </c>
      <c r="B219" s="408" t="s">
        <v>2505</v>
      </c>
      <c r="C219" s="408"/>
      <c r="D219" s="408"/>
      <c r="E219" s="408"/>
      <c r="F219" s="408"/>
      <c r="G219" s="408"/>
      <c r="H219" s="408"/>
      <c r="I219" s="408"/>
      <c r="J219" s="408"/>
    </row>
    <row r="220" spans="1:10" ht="13.5" customHeight="1">
      <c r="A220" s="226" t="s">
        <v>866</v>
      </c>
      <c r="B220" s="408" t="s">
        <v>2506</v>
      </c>
      <c r="C220" s="408"/>
      <c r="D220" s="408"/>
      <c r="E220" s="408"/>
      <c r="F220" s="408"/>
      <c r="G220" s="408"/>
      <c r="H220" s="408"/>
      <c r="I220" s="408"/>
      <c r="J220" s="408"/>
    </row>
    <row r="221" spans="1:10" ht="13.5" customHeight="1">
      <c r="A221" s="226" t="s">
        <v>868</v>
      </c>
      <c r="B221" s="408" t="s">
        <v>2507</v>
      </c>
      <c r="C221" s="408"/>
      <c r="D221" s="408"/>
      <c r="E221" s="408"/>
      <c r="F221" s="408"/>
      <c r="G221" s="408"/>
      <c r="H221" s="408"/>
      <c r="I221" s="408"/>
      <c r="J221" s="408"/>
    </row>
    <row r="222" spans="1:10" ht="13.5" customHeight="1">
      <c r="A222" s="226" t="s">
        <v>870</v>
      </c>
      <c r="B222" s="408" t="s">
        <v>2508</v>
      </c>
      <c r="C222" s="408"/>
      <c r="D222" s="408"/>
      <c r="E222" s="408"/>
      <c r="F222" s="408"/>
      <c r="G222" s="408"/>
      <c r="H222" s="408"/>
      <c r="I222" s="408"/>
      <c r="J222" s="408"/>
    </row>
    <row r="223" spans="1:10" ht="13.5" customHeight="1">
      <c r="A223" s="226" t="s">
        <v>872</v>
      </c>
      <c r="B223" s="408" t="s">
        <v>2509</v>
      </c>
      <c r="C223" s="408"/>
      <c r="D223" s="408"/>
      <c r="E223" s="408"/>
      <c r="F223" s="408"/>
      <c r="G223" s="408"/>
      <c r="H223" s="408"/>
      <c r="I223" s="408"/>
      <c r="J223" s="408"/>
    </row>
    <row r="224" spans="1:10" ht="13.5" customHeight="1">
      <c r="A224" s="226" t="s">
        <v>874</v>
      </c>
      <c r="B224" s="408" t="s">
        <v>2510</v>
      </c>
      <c r="C224" s="408"/>
      <c r="D224" s="408"/>
      <c r="E224" s="408"/>
      <c r="F224" s="408"/>
      <c r="G224" s="408"/>
      <c r="H224" s="408"/>
      <c r="I224" s="408"/>
      <c r="J224" s="408"/>
    </row>
    <row r="225" spans="1:10" ht="13.5" customHeight="1">
      <c r="A225" s="226" t="s">
        <v>876</v>
      </c>
      <c r="B225" s="408" t="s">
        <v>2511</v>
      </c>
      <c r="C225" s="408"/>
      <c r="D225" s="408"/>
      <c r="E225" s="408"/>
      <c r="F225" s="408"/>
      <c r="G225" s="408"/>
      <c r="H225" s="408"/>
      <c r="I225" s="408"/>
      <c r="J225" s="408"/>
    </row>
    <row r="226" spans="1:10" ht="13.5" customHeight="1">
      <c r="A226" s="226" t="s">
        <v>878</v>
      </c>
      <c r="B226" s="408" t="s">
        <v>2512</v>
      </c>
      <c r="C226" s="408"/>
      <c r="D226" s="408"/>
      <c r="E226" s="408"/>
      <c r="F226" s="408"/>
      <c r="G226" s="408"/>
      <c r="H226" s="408"/>
      <c r="I226" s="408"/>
      <c r="J226" s="408"/>
    </row>
    <row r="227" spans="1:10" ht="13.5" customHeight="1">
      <c r="A227" s="226" t="s">
        <v>880</v>
      </c>
      <c r="B227" s="408" t="s">
        <v>2513</v>
      </c>
      <c r="C227" s="408"/>
      <c r="D227" s="408"/>
      <c r="E227" s="408"/>
      <c r="F227" s="408"/>
      <c r="G227" s="408"/>
      <c r="H227" s="408"/>
      <c r="I227" s="408"/>
      <c r="J227" s="408"/>
    </row>
    <row r="228" spans="1:10" ht="13.5" customHeight="1">
      <c r="A228" s="226" t="s">
        <v>882</v>
      </c>
      <c r="B228" s="408" t="s">
        <v>2514</v>
      </c>
      <c r="C228" s="408"/>
      <c r="D228" s="408"/>
      <c r="E228" s="408"/>
      <c r="F228" s="408"/>
      <c r="G228" s="408"/>
      <c r="H228" s="408"/>
      <c r="I228" s="408"/>
      <c r="J228" s="408"/>
    </row>
    <row r="229" spans="1:10" ht="13.5" customHeight="1">
      <c r="A229" s="226" t="s">
        <v>884</v>
      </c>
      <c r="B229" s="408" t="s">
        <v>2515</v>
      </c>
      <c r="C229" s="408"/>
      <c r="D229" s="408"/>
      <c r="E229" s="408"/>
      <c r="F229" s="408"/>
      <c r="G229" s="408"/>
      <c r="H229" s="408"/>
      <c r="I229" s="408"/>
      <c r="J229" s="408"/>
    </row>
    <row r="230" spans="1:10" ht="13.5" customHeight="1">
      <c r="A230" s="226" t="s">
        <v>886</v>
      </c>
      <c r="B230" s="408" t="s">
        <v>2516</v>
      </c>
      <c r="C230" s="408"/>
      <c r="D230" s="408"/>
      <c r="E230" s="408"/>
      <c r="F230" s="408"/>
      <c r="G230" s="408"/>
      <c r="H230" s="408"/>
      <c r="I230" s="408"/>
      <c r="J230" s="408"/>
    </row>
    <row r="231" spans="1:10" ht="13.5" customHeight="1">
      <c r="A231" s="226" t="s">
        <v>888</v>
      </c>
      <c r="B231" s="408" t="s">
        <v>2517</v>
      </c>
      <c r="C231" s="408"/>
      <c r="D231" s="408"/>
      <c r="E231" s="408"/>
      <c r="F231" s="408"/>
      <c r="G231" s="408"/>
      <c r="H231" s="408"/>
      <c r="I231" s="408"/>
      <c r="J231" s="408"/>
    </row>
    <row r="232" spans="1:10" ht="13.5" customHeight="1">
      <c r="A232" s="226" t="s">
        <v>890</v>
      </c>
      <c r="B232" s="408" t="s">
        <v>2518</v>
      </c>
      <c r="C232" s="408"/>
      <c r="D232" s="408"/>
      <c r="E232" s="408"/>
      <c r="F232" s="408"/>
      <c r="G232" s="408"/>
      <c r="H232" s="408"/>
      <c r="I232" s="408"/>
      <c r="J232" s="408"/>
    </row>
    <row r="233" spans="1:10" ht="13.5" customHeight="1">
      <c r="A233" s="226" t="s">
        <v>892</v>
      </c>
      <c r="B233" s="408" t="s">
        <v>2519</v>
      </c>
      <c r="C233" s="408"/>
      <c r="D233" s="408"/>
      <c r="E233" s="408"/>
      <c r="F233" s="408"/>
      <c r="G233" s="408"/>
      <c r="H233" s="408"/>
      <c r="I233" s="408"/>
      <c r="J233" s="408"/>
    </row>
    <row r="234" spans="1:10" ht="13.5" customHeight="1">
      <c r="A234" s="226" t="s">
        <v>894</v>
      </c>
      <c r="B234" s="408" t="s">
        <v>2520</v>
      </c>
      <c r="C234" s="408"/>
      <c r="D234" s="408"/>
      <c r="E234" s="408"/>
      <c r="F234" s="408"/>
      <c r="G234" s="408"/>
      <c r="H234" s="408"/>
      <c r="I234" s="408"/>
      <c r="J234" s="408"/>
    </row>
    <row r="235" spans="1:10" ht="13.5" customHeight="1">
      <c r="A235" s="226" t="s">
        <v>896</v>
      </c>
      <c r="B235" s="408" t="s">
        <v>2521</v>
      </c>
      <c r="C235" s="408"/>
      <c r="D235" s="408"/>
      <c r="E235" s="408"/>
      <c r="F235" s="408"/>
      <c r="G235" s="408"/>
      <c r="H235" s="408"/>
      <c r="I235" s="408"/>
      <c r="J235" s="408"/>
    </row>
    <row r="236" spans="1:10" ht="13.5" customHeight="1">
      <c r="A236" s="226" t="s">
        <v>898</v>
      </c>
      <c r="B236" s="408" t="s">
        <v>2522</v>
      </c>
      <c r="C236" s="408"/>
      <c r="D236" s="408"/>
      <c r="E236" s="408"/>
      <c r="F236" s="408"/>
      <c r="G236" s="408"/>
      <c r="H236" s="408"/>
      <c r="I236" s="408"/>
      <c r="J236" s="408"/>
    </row>
    <row r="237" spans="1:10" ht="13.5" customHeight="1">
      <c r="A237" s="226" t="s">
        <v>900</v>
      </c>
      <c r="B237" s="408" t="s">
        <v>2523</v>
      </c>
      <c r="C237" s="408"/>
      <c r="D237" s="408"/>
      <c r="E237" s="408"/>
      <c r="F237" s="408"/>
      <c r="G237" s="408"/>
      <c r="H237" s="408"/>
      <c r="I237" s="408"/>
      <c r="J237" s="408"/>
    </row>
    <row r="238" spans="1:10" ht="13.5" customHeight="1">
      <c r="A238" s="226" t="s">
        <v>902</v>
      </c>
      <c r="B238" s="408" t="s">
        <v>2524</v>
      </c>
      <c r="C238" s="408"/>
      <c r="D238" s="408"/>
      <c r="E238" s="408"/>
      <c r="F238" s="408"/>
      <c r="G238" s="408"/>
      <c r="H238" s="408"/>
      <c r="I238" s="408"/>
      <c r="J238" s="408"/>
    </row>
    <row r="239" spans="1:10" ht="13.5" customHeight="1">
      <c r="A239" s="226" t="s">
        <v>904</v>
      </c>
      <c r="B239" s="408" t="s">
        <v>2525</v>
      </c>
      <c r="C239" s="408"/>
      <c r="D239" s="408"/>
      <c r="E239" s="408"/>
      <c r="F239" s="408"/>
      <c r="G239" s="408"/>
      <c r="H239" s="408"/>
      <c r="I239" s="408"/>
      <c r="J239" s="408"/>
    </row>
    <row r="240" spans="1:10" ht="13.5" customHeight="1">
      <c r="A240" s="226" t="s">
        <v>906</v>
      </c>
      <c r="B240" s="408" t="s">
        <v>2526</v>
      </c>
      <c r="C240" s="408"/>
      <c r="D240" s="408"/>
      <c r="E240" s="408"/>
      <c r="F240" s="408"/>
      <c r="G240" s="408"/>
      <c r="H240" s="408"/>
      <c r="I240" s="408"/>
      <c r="J240" s="408"/>
    </row>
    <row r="241" spans="1:10" ht="13.5" customHeight="1">
      <c r="A241" s="226" t="s">
        <v>908</v>
      </c>
      <c r="B241" s="408" t="s">
        <v>2527</v>
      </c>
      <c r="C241" s="408"/>
      <c r="D241" s="408"/>
      <c r="E241" s="408"/>
      <c r="F241" s="408"/>
      <c r="G241" s="408"/>
      <c r="H241" s="408"/>
      <c r="I241" s="408"/>
      <c r="J241" s="408"/>
    </row>
    <row r="242" spans="1:10" ht="13.5" customHeight="1">
      <c r="A242" s="226" t="s">
        <v>910</v>
      </c>
      <c r="B242" s="408" t="s">
        <v>2528</v>
      </c>
      <c r="C242" s="408"/>
      <c r="D242" s="408"/>
      <c r="E242" s="408"/>
      <c r="F242" s="408"/>
      <c r="G242" s="408"/>
      <c r="H242" s="408"/>
      <c r="I242" s="408"/>
      <c r="J242" s="408"/>
    </row>
    <row r="243" spans="1:10" ht="13.5" customHeight="1">
      <c r="A243" s="226" t="s">
        <v>912</v>
      </c>
      <c r="B243" s="408" t="s">
        <v>2529</v>
      </c>
      <c r="C243" s="408"/>
      <c r="D243" s="408"/>
      <c r="E243" s="408"/>
      <c r="F243" s="408"/>
      <c r="G243" s="408"/>
      <c r="H243" s="408"/>
      <c r="I243" s="408"/>
      <c r="J243" s="408"/>
    </row>
    <row r="244" spans="1:10" ht="13.5" customHeight="1">
      <c r="A244" s="226" t="s">
        <v>914</v>
      </c>
      <c r="B244" s="408" t="s">
        <v>2530</v>
      </c>
      <c r="C244" s="408"/>
      <c r="D244" s="408"/>
      <c r="E244" s="408"/>
      <c r="F244" s="408"/>
      <c r="G244" s="408"/>
      <c r="H244" s="408"/>
      <c r="I244" s="408"/>
      <c r="J244" s="408"/>
    </row>
    <row r="245" spans="1:10" ht="13.5" customHeight="1">
      <c r="A245" s="226" t="s">
        <v>916</v>
      </c>
      <c r="B245" s="408" t="s">
        <v>2531</v>
      </c>
      <c r="C245" s="408"/>
      <c r="D245" s="408"/>
      <c r="E245" s="408"/>
      <c r="F245" s="408"/>
      <c r="G245" s="408"/>
      <c r="H245" s="408"/>
      <c r="I245" s="408"/>
      <c r="J245" s="408"/>
    </row>
    <row r="246" spans="1:10" ht="13.5" customHeight="1">
      <c r="A246" s="226" t="s">
        <v>918</v>
      </c>
      <c r="B246" s="408" t="s">
        <v>2532</v>
      </c>
      <c r="C246" s="408"/>
      <c r="D246" s="408"/>
      <c r="E246" s="408"/>
      <c r="F246" s="408"/>
      <c r="G246" s="408"/>
      <c r="H246" s="408"/>
      <c r="I246" s="408"/>
      <c r="J246" s="408"/>
    </row>
    <row r="247" spans="1:10" ht="13.5" customHeight="1">
      <c r="A247" s="226" t="s">
        <v>920</v>
      </c>
      <c r="B247" s="408" t="s">
        <v>2533</v>
      </c>
      <c r="C247" s="408"/>
      <c r="D247" s="408"/>
      <c r="E247" s="408"/>
      <c r="F247" s="408"/>
      <c r="G247" s="408"/>
      <c r="H247" s="408"/>
      <c r="I247" s="408"/>
      <c r="J247" s="408"/>
    </row>
    <row r="248" spans="1:10" ht="13.5" customHeight="1">
      <c r="A248" s="226" t="s">
        <v>922</v>
      </c>
      <c r="B248" s="408" t="s">
        <v>2534</v>
      </c>
      <c r="C248" s="408"/>
      <c r="D248" s="408"/>
      <c r="E248" s="408"/>
      <c r="F248" s="408"/>
      <c r="G248" s="408"/>
      <c r="H248" s="408"/>
      <c r="I248" s="408"/>
      <c r="J248" s="408"/>
    </row>
    <row r="249" spans="1:10" ht="13.5" customHeight="1">
      <c r="A249" s="226" t="s">
        <v>924</v>
      </c>
      <c r="B249" s="408" t="s">
        <v>2535</v>
      </c>
      <c r="C249" s="408"/>
      <c r="D249" s="408"/>
      <c r="E249" s="408"/>
      <c r="F249" s="408"/>
      <c r="G249" s="408"/>
      <c r="H249" s="408"/>
      <c r="I249" s="408"/>
      <c r="J249" s="408"/>
    </row>
    <row r="250" spans="1:10" ht="13.5" customHeight="1">
      <c r="A250" s="226" t="s">
        <v>926</v>
      </c>
      <c r="B250" s="408" t="s">
        <v>2536</v>
      </c>
      <c r="C250" s="408"/>
      <c r="D250" s="408"/>
      <c r="E250" s="408"/>
      <c r="F250" s="408"/>
      <c r="G250" s="408"/>
      <c r="H250" s="408"/>
      <c r="I250" s="408"/>
      <c r="J250" s="408"/>
    </row>
    <row r="251" spans="1:10" ht="13.5" customHeight="1">
      <c r="A251" s="226" t="s">
        <v>928</v>
      </c>
      <c r="B251" s="408" t="s">
        <v>2537</v>
      </c>
      <c r="C251" s="408"/>
      <c r="D251" s="408"/>
      <c r="E251" s="408"/>
      <c r="F251" s="408"/>
      <c r="G251" s="408"/>
      <c r="H251" s="408"/>
      <c r="I251" s="408"/>
      <c r="J251" s="408"/>
    </row>
    <row r="252" spans="1:10" ht="13.5" customHeight="1">
      <c r="A252" s="226" t="s">
        <v>930</v>
      </c>
      <c r="B252" s="408" t="s">
        <v>2538</v>
      </c>
      <c r="C252" s="408"/>
      <c r="D252" s="408"/>
      <c r="E252" s="408"/>
      <c r="F252" s="408"/>
      <c r="G252" s="408"/>
      <c r="H252" s="408"/>
      <c r="I252" s="408"/>
      <c r="J252" s="408"/>
    </row>
    <row r="253" spans="1:10" ht="13.5" customHeight="1">
      <c r="A253" s="226" t="s">
        <v>932</v>
      </c>
      <c r="B253" s="408" t="s">
        <v>2539</v>
      </c>
      <c r="C253" s="408"/>
      <c r="D253" s="408"/>
      <c r="E253" s="408"/>
      <c r="F253" s="408"/>
      <c r="G253" s="408"/>
      <c r="H253" s="408"/>
      <c r="I253" s="408"/>
      <c r="J253" s="408"/>
    </row>
    <row r="254" spans="1:10" ht="13.5" customHeight="1">
      <c r="A254" s="226" t="s">
        <v>934</v>
      </c>
      <c r="B254" s="408" t="s">
        <v>2540</v>
      </c>
      <c r="C254" s="408"/>
      <c r="D254" s="408"/>
      <c r="E254" s="408"/>
      <c r="F254" s="408"/>
      <c r="G254" s="408"/>
      <c r="H254" s="408"/>
      <c r="I254" s="408"/>
      <c r="J254" s="408"/>
    </row>
    <row r="255" spans="1:10" ht="13.5" customHeight="1">
      <c r="A255" s="226" t="s">
        <v>936</v>
      </c>
      <c r="B255" s="408" t="s">
        <v>2541</v>
      </c>
      <c r="C255" s="408"/>
      <c r="D255" s="408"/>
      <c r="E255" s="408"/>
      <c r="F255" s="408"/>
      <c r="G255" s="408"/>
      <c r="H255" s="408"/>
      <c r="I255" s="408"/>
      <c r="J255" s="408"/>
    </row>
    <row r="256" spans="1:10" ht="13.5" customHeight="1">
      <c r="A256" s="226" t="s">
        <v>938</v>
      </c>
      <c r="B256" s="408" t="s">
        <v>2542</v>
      </c>
      <c r="C256" s="408"/>
      <c r="D256" s="408"/>
      <c r="E256" s="408"/>
      <c r="F256" s="408"/>
      <c r="G256" s="408"/>
      <c r="H256" s="408"/>
      <c r="I256" s="408"/>
      <c r="J256" s="408"/>
    </row>
    <row r="257" spans="1:10" ht="13.5" customHeight="1">
      <c r="A257" s="226" t="s">
        <v>940</v>
      </c>
      <c r="B257" s="408" t="s">
        <v>2543</v>
      </c>
      <c r="C257" s="408"/>
      <c r="D257" s="408"/>
      <c r="E257" s="408"/>
      <c r="F257" s="408"/>
      <c r="G257" s="408"/>
      <c r="H257" s="408"/>
      <c r="I257" s="408"/>
      <c r="J257" s="408"/>
    </row>
    <row r="258" spans="1:10" ht="13.5" customHeight="1">
      <c r="A258" s="226" t="s">
        <v>942</v>
      </c>
      <c r="B258" s="408" t="s">
        <v>2544</v>
      </c>
      <c r="C258" s="408"/>
      <c r="D258" s="408"/>
      <c r="E258" s="408"/>
      <c r="F258" s="408"/>
      <c r="G258" s="408"/>
      <c r="H258" s="408"/>
      <c r="I258" s="408"/>
      <c r="J258" s="408"/>
    </row>
    <row r="259" spans="1:10" ht="13.5" customHeight="1">
      <c r="A259" s="226" t="s">
        <v>944</v>
      </c>
      <c r="B259" s="408" t="s">
        <v>2545</v>
      </c>
      <c r="C259" s="408"/>
      <c r="D259" s="408"/>
      <c r="E259" s="408"/>
      <c r="F259" s="408"/>
      <c r="G259" s="408"/>
      <c r="H259" s="408"/>
      <c r="I259" s="408"/>
      <c r="J259" s="408"/>
    </row>
    <row r="260" spans="1:10" ht="13.5" customHeight="1">
      <c r="A260" s="226" t="s">
        <v>946</v>
      </c>
      <c r="B260" s="408" t="s">
        <v>2546</v>
      </c>
      <c r="C260" s="408"/>
      <c r="D260" s="408"/>
      <c r="E260" s="408"/>
      <c r="F260" s="408"/>
      <c r="G260" s="408"/>
      <c r="H260" s="408"/>
      <c r="I260" s="408"/>
      <c r="J260" s="408"/>
    </row>
    <row r="261" spans="1:10" ht="13.5" customHeight="1">
      <c r="A261" s="226" t="s">
        <v>948</v>
      </c>
      <c r="B261" s="408" t="s">
        <v>2547</v>
      </c>
      <c r="C261" s="408"/>
      <c r="D261" s="408"/>
      <c r="E261" s="408"/>
      <c r="F261" s="408"/>
      <c r="G261" s="408"/>
      <c r="H261" s="408"/>
      <c r="I261" s="408"/>
      <c r="J261" s="408"/>
    </row>
    <row r="262" spans="1:10" ht="13.5" customHeight="1">
      <c r="A262" s="226" t="s">
        <v>950</v>
      </c>
      <c r="B262" s="408" t="s">
        <v>2548</v>
      </c>
      <c r="C262" s="408"/>
      <c r="D262" s="408"/>
      <c r="E262" s="408"/>
      <c r="F262" s="408"/>
      <c r="G262" s="408"/>
      <c r="H262" s="408"/>
      <c r="I262" s="408"/>
      <c r="J262" s="408"/>
    </row>
    <row r="263" spans="1:10" ht="13.5" customHeight="1">
      <c r="A263" s="226" t="s">
        <v>952</v>
      </c>
      <c r="B263" s="408" t="s">
        <v>2549</v>
      </c>
      <c r="C263" s="408"/>
      <c r="D263" s="408"/>
      <c r="E263" s="408"/>
      <c r="F263" s="408"/>
      <c r="G263" s="408"/>
      <c r="H263" s="408"/>
      <c r="I263" s="408"/>
      <c r="J263" s="408"/>
    </row>
    <row r="264" spans="1:10" ht="13.5" customHeight="1">
      <c r="A264" s="226" t="s">
        <v>954</v>
      </c>
      <c r="B264" s="408" t="s">
        <v>2550</v>
      </c>
      <c r="C264" s="408"/>
      <c r="D264" s="408"/>
      <c r="E264" s="408"/>
      <c r="F264" s="408"/>
      <c r="G264" s="408"/>
      <c r="H264" s="408"/>
      <c r="I264" s="408"/>
      <c r="J264" s="408"/>
    </row>
    <row r="265" spans="1:10" ht="13.5" customHeight="1">
      <c r="A265" s="226" t="s">
        <v>956</v>
      </c>
      <c r="B265" s="408" t="s">
        <v>2551</v>
      </c>
      <c r="C265" s="408"/>
      <c r="D265" s="408"/>
      <c r="E265" s="408"/>
      <c r="F265" s="408"/>
      <c r="G265" s="408"/>
      <c r="H265" s="408"/>
      <c r="I265" s="408"/>
      <c r="J265" s="408"/>
    </row>
    <row r="266" spans="1:10" ht="13.5" customHeight="1">
      <c r="A266" s="226" t="s">
        <v>958</v>
      </c>
      <c r="B266" s="408" t="s">
        <v>2552</v>
      </c>
      <c r="C266" s="408"/>
      <c r="D266" s="408"/>
      <c r="E266" s="408"/>
      <c r="F266" s="408"/>
      <c r="G266" s="408"/>
      <c r="H266" s="408"/>
      <c r="I266" s="408"/>
      <c r="J266" s="408"/>
    </row>
    <row r="267" spans="1:10" ht="13.5" customHeight="1">
      <c r="A267" s="226" t="s">
        <v>960</v>
      </c>
      <c r="B267" s="408" t="s">
        <v>2553</v>
      </c>
      <c r="C267" s="408"/>
      <c r="D267" s="408"/>
      <c r="E267" s="408"/>
      <c r="F267" s="408"/>
      <c r="G267" s="408"/>
      <c r="H267" s="408"/>
      <c r="I267" s="408"/>
      <c r="J267" s="408"/>
    </row>
    <row r="268" spans="1:10" ht="13.5" customHeight="1">
      <c r="A268" s="226" t="s">
        <v>962</v>
      </c>
      <c r="B268" s="408" t="s">
        <v>2554</v>
      </c>
      <c r="C268" s="408"/>
      <c r="D268" s="408"/>
      <c r="E268" s="408"/>
      <c r="F268" s="408"/>
      <c r="G268" s="408"/>
      <c r="H268" s="408"/>
      <c r="I268" s="408"/>
      <c r="J268" s="408"/>
    </row>
    <row r="269" spans="1:10" ht="13.5" customHeight="1">
      <c r="A269" s="226" t="s">
        <v>964</v>
      </c>
      <c r="B269" s="408" t="s">
        <v>2555</v>
      </c>
      <c r="C269" s="408"/>
      <c r="D269" s="408"/>
      <c r="E269" s="408"/>
      <c r="F269" s="408"/>
      <c r="G269" s="408"/>
      <c r="H269" s="408"/>
      <c r="I269" s="408"/>
      <c r="J269" s="408"/>
    </row>
    <row r="270" spans="1:10" ht="13.5" customHeight="1">
      <c r="A270" s="226" t="s">
        <v>966</v>
      </c>
      <c r="B270" s="408" t="s">
        <v>2556</v>
      </c>
      <c r="C270" s="408"/>
      <c r="D270" s="408"/>
      <c r="E270" s="408"/>
      <c r="F270" s="408"/>
      <c r="G270" s="408"/>
      <c r="H270" s="408"/>
      <c r="I270" s="408"/>
      <c r="J270" s="408"/>
    </row>
    <row r="271" spans="1:10" ht="13.5" customHeight="1">
      <c r="A271" s="226" t="s">
        <v>968</v>
      </c>
      <c r="B271" s="408" t="s">
        <v>2557</v>
      </c>
      <c r="C271" s="408"/>
      <c r="D271" s="408"/>
      <c r="E271" s="408"/>
      <c r="F271" s="408"/>
      <c r="G271" s="408"/>
      <c r="H271" s="408"/>
      <c r="I271" s="408"/>
      <c r="J271" s="408"/>
    </row>
    <row r="272" spans="1:10" ht="13.5" customHeight="1">
      <c r="A272" s="226" t="s">
        <v>970</v>
      </c>
      <c r="B272" s="408" t="s">
        <v>2558</v>
      </c>
      <c r="C272" s="408"/>
      <c r="D272" s="408"/>
      <c r="E272" s="408"/>
      <c r="F272" s="408"/>
      <c r="G272" s="408"/>
      <c r="H272" s="408"/>
      <c r="I272" s="408"/>
      <c r="J272" s="408"/>
    </row>
    <row r="273" spans="1:10" ht="13.5" customHeight="1">
      <c r="A273" s="226" t="s">
        <v>972</v>
      </c>
      <c r="B273" s="408" t="s">
        <v>2559</v>
      </c>
      <c r="C273" s="408"/>
      <c r="D273" s="408"/>
      <c r="E273" s="408"/>
      <c r="F273" s="408"/>
      <c r="G273" s="408"/>
      <c r="H273" s="408"/>
      <c r="I273" s="408"/>
      <c r="J273" s="408"/>
    </row>
    <row r="274" spans="1:10" ht="13.5" customHeight="1">
      <c r="A274" s="226" t="s">
        <v>974</v>
      </c>
      <c r="B274" s="408" t="s">
        <v>2560</v>
      </c>
      <c r="C274" s="408"/>
      <c r="D274" s="408"/>
      <c r="E274" s="408"/>
      <c r="F274" s="408"/>
      <c r="G274" s="408"/>
      <c r="H274" s="408"/>
      <c r="I274" s="408"/>
      <c r="J274" s="408"/>
    </row>
    <row r="275" spans="1:10" ht="13.5" customHeight="1">
      <c r="A275" s="226" t="s">
        <v>976</v>
      </c>
      <c r="B275" s="408" t="s">
        <v>2561</v>
      </c>
      <c r="C275" s="408"/>
      <c r="D275" s="408"/>
      <c r="E275" s="408"/>
      <c r="F275" s="408"/>
      <c r="G275" s="408"/>
      <c r="H275" s="408"/>
      <c r="I275" s="408"/>
      <c r="J275" s="408"/>
    </row>
    <row r="276" spans="1:10" ht="13.5" customHeight="1">
      <c r="A276" s="226" t="s">
        <v>978</v>
      </c>
      <c r="B276" s="408" t="s">
        <v>2562</v>
      </c>
      <c r="C276" s="408"/>
      <c r="D276" s="408"/>
      <c r="E276" s="408"/>
      <c r="F276" s="408"/>
      <c r="G276" s="408"/>
      <c r="H276" s="408"/>
      <c r="I276" s="408"/>
      <c r="J276" s="408"/>
    </row>
    <row r="277" spans="1:10" ht="13.5" customHeight="1">
      <c r="A277" s="226" t="s">
        <v>980</v>
      </c>
      <c r="B277" s="408" t="s">
        <v>2563</v>
      </c>
      <c r="C277" s="408"/>
      <c r="D277" s="408"/>
      <c r="E277" s="408"/>
      <c r="F277" s="408"/>
      <c r="G277" s="408"/>
      <c r="H277" s="408"/>
      <c r="I277" s="408"/>
      <c r="J277" s="408"/>
    </row>
    <row r="278" spans="1:10" ht="13.5" customHeight="1">
      <c r="A278" s="226" t="s">
        <v>982</v>
      </c>
      <c r="B278" s="408" t="s">
        <v>2564</v>
      </c>
      <c r="C278" s="408"/>
      <c r="D278" s="408"/>
      <c r="E278" s="408"/>
      <c r="F278" s="408"/>
      <c r="G278" s="408"/>
      <c r="H278" s="408"/>
      <c r="I278" s="408"/>
      <c r="J278" s="408"/>
    </row>
    <row r="279" spans="1:10" ht="13.5" customHeight="1">
      <c r="A279" s="226" t="s">
        <v>984</v>
      </c>
      <c r="B279" s="408" t="s">
        <v>2565</v>
      </c>
      <c r="C279" s="408"/>
      <c r="D279" s="408"/>
      <c r="E279" s="408"/>
      <c r="F279" s="408"/>
      <c r="G279" s="408"/>
      <c r="H279" s="408"/>
      <c r="I279" s="408"/>
      <c r="J279" s="408"/>
    </row>
    <row r="280" spans="1:10" ht="13.5" customHeight="1">
      <c r="A280" s="226" t="s">
        <v>986</v>
      </c>
      <c r="B280" s="408" t="s">
        <v>2566</v>
      </c>
      <c r="C280" s="408"/>
      <c r="D280" s="408"/>
      <c r="E280" s="408"/>
      <c r="F280" s="408"/>
      <c r="G280" s="408"/>
      <c r="H280" s="408"/>
      <c r="I280" s="408"/>
      <c r="J280" s="408"/>
    </row>
    <row r="281" spans="1:10" ht="13.5" customHeight="1">
      <c r="A281" s="226" t="s">
        <v>988</v>
      </c>
      <c r="B281" s="408" t="s">
        <v>2567</v>
      </c>
      <c r="C281" s="408"/>
      <c r="D281" s="408"/>
      <c r="E281" s="408"/>
      <c r="F281" s="408"/>
      <c r="G281" s="408"/>
      <c r="H281" s="408"/>
      <c r="I281" s="408"/>
      <c r="J281" s="408"/>
    </row>
    <row r="282" spans="1:10" ht="13.5" customHeight="1">
      <c r="A282" s="226" t="s">
        <v>990</v>
      </c>
      <c r="B282" s="408" t="s">
        <v>2568</v>
      </c>
      <c r="C282" s="408"/>
      <c r="D282" s="408"/>
      <c r="E282" s="408"/>
      <c r="F282" s="408"/>
      <c r="G282" s="408"/>
      <c r="H282" s="408"/>
      <c r="I282" s="408"/>
      <c r="J282" s="408"/>
    </row>
    <row r="283" spans="1:10" ht="13.5" customHeight="1">
      <c r="A283" s="226" t="s">
        <v>992</v>
      </c>
      <c r="B283" s="408" t="s">
        <v>2569</v>
      </c>
      <c r="C283" s="408"/>
      <c r="D283" s="408"/>
      <c r="E283" s="408"/>
      <c r="F283" s="408"/>
      <c r="G283" s="408"/>
      <c r="H283" s="408"/>
      <c r="I283" s="408"/>
      <c r="J283" s="408"/>
    </row>
    <row r="284" spans="1:10" ht="13.5" customHeight="1">
      <c r="A284" s="226" t="s">
        <v>994</v>
      </c>
      <c r="B284" s="408" t="s">
        <v>2570</v>
      </c>
      <c r="C284" s="408"/>
      <c r="D284" s="408"/>
      <c r="E284" s="408"/>
      <c r="F284" s="408"/>
      <c r="G284" s="408"/>
      <c r="H284" s="408"/>
      <c r="I284" s="408"/>
      <c r="J284" s="408"/>
    </row>
    <row r="285" spans="1:10" ht="13.5" customHeight="1">
      <c r="A285" s="226" t="s">
        <v>996</v>
      </c>
      <c r="B285" s="408" t="s">
        <v>2571</v>
      </c>
      <c r="C285" s="408"/>
      <c r="D285" s="408"/>
      <c r="E285" s="408"/>
      <c r="F285" s="408"/>
      <c r="G285" s="408"/>
      <c r="H285" s="408"/>
      <c r="I285" s="408"/>
      <c r="J285" s="408"/>
    </row>
    <row r="286" spans="1:10" ht="13.5" customHeight="1">
      <c r="A286" s="226" t="s">
        <v>998</v>
      </c>
      <c r="B286" s="408" t="s">
        <v>2572</v>
      </c>
      <c r="C286" s="408"/>
      <c r="D286" s="408"/>
      <c r="E286" s="408"/>
      <c r="F286" s="408"/>
      <c r="G286" s="408"/>
      <c r="H286" s="408"/>
      <c r="I286" s="408"/>
      <c r="J286" s="408"/>
    </row>
    <row r="287" spans="1:10" ht="13.5" customHeight="1">
      <c r="A287" s="226" t="s">
        <v>1000</v>
      </c>
      <c r="B287" s="408" t="s">
        <v>2573</v>
      </c>
      <c r="C287" s="408"/>
      <c r="D287" s="408"/>
      <c r="E287" s="408"/>
      <c r="F287" s="408"/>
      <c r="G287" s="408"/>
      <c r="H287" s="408"/>
      <c r="I287" s="408"/>
      <c r="J287" s="408"/>
    </row>
    <row r="288" spans="1:10" ht="13.5" customHeight="1">
      <c r="A288" s="226" t="s">
        <v>1002</v>
      </c>
      <c r="B288" s="408" t="s">
        <v>2574</v>
      </c>
      <c r="C288" s="408"/>
      <c r="D288" s="408"/>
      <c r="E288" s="408"/>
      <c r="F288" s="408"/>
      <c r="G288" s="408"/>
      <c r="H288" s="408"/>
      <c r="I288" s="408"/>
      <c r="J288" s="408"/>
    </row>
    <row r="289" spans="1:10" ht="13.5" customHeight="1">
      <c r="A289" s="226" t="s">
        <v>1004</v>
      </c>
      <c r="B289" s="408" t="s">
        <v>2575</v>
      </c>
      <c r="C289" s="408"/>
      <c r="D289" s="408"/>
      <c r="E289" s="408"/>
      <c r="F289" s="408"/>
      <c r="G289" s="408"/>
      <c r="H289" s="408"/>
      <c r="I289" s="408"/>
      <c r="J289" s="408"/>
    </row>
    <row r="290" spans="1:10" ht="13.5" customHeight="1">
      <c r="A290" s="226" t="s">
        <v>1006</v>
      </c>
      <c r="B290" s="408" t="s">
        <v>2576</v>
      </c>
      <c r="C290" s="408"/>
      <c r="D290" s="408"/>
      <c r="E290" s="408"/>
      <c r="F290" s="408"/>
      <c r="G290" s="408"/>
      <c r="H290" s="408"/>
      <c r="I290" s="408"/>
      <c r="J290" s="408"/>
    </row>
    <row r="291" spans="1:10" ht="13.5" customHeight="1">
      <c r="A291" s="226" t="s">
        <v>1008</v>
      </c>
      <c r="B291" s="408" t="s">
        <v>2577</v>
      </c>
      <c r="C291" s="408"/>
      <c r="D291" s="408"/>
      <c r="E291" s="408"/>
      <c r="F291" s="408"/>
      <c r="G291" s="408"/>
      <c r="H291" s="408"/>
      <c r="I291" s="408"/>
      <c r="J291" s="408"/>
    </row>
    <row r="292" spans="1:10" ht="13.5" customHeight="1">
      <c r="A292" s="226" t="s">
        <v>1010</v>
      </c>
      <c r="B292" s="408" t="s">
        <v>2578</v>
      </c>
      <c r="C292" s="408"/>
      <c r="D292" s="408"/>
      <c r="E292" s="408"/>
      <c r="F292" s="408"/>
      <c r="G292" s="408"/>
      <c r="H292" s="408"/>
      <c r="I292" s="408"/>
      <c r="J292" s="408"/>
    </row>
    <row r="293" spans="1:10" ht="13.5" customHeight="1">
      <c r="A293" s="226" t="s">
        <v>1012</v>
      </c>
      <c r="B293" s="408" t="s">
        <v>2579</v>
      </c>
      <c r="C293" s="408"/>
      <c r="D293" s="408"/>
      <c r="E293" s="408"/>
      <c r="F293" s="408"/>
      <c r="G293" s="408"/>
      <c r="H293" s="408"/>
      <c r="I293" s="408"/>
      <c r="J293" s="408"/>
    </row>
    <row r="294" spans="1:10" ht="13.5" customHeight="1">
      <c r="A294" s="226" t="s">
        <v>1014</v>
      </c>
      <c r="B294" s="408" t="s">
        <v>2580</v>
      </c>
      <c r="C294" s="408"/>
      <c r="D294" s="408"/>
      <c r="E294" s="408"/>
      <c r="F294" s="408"/>
      <c r="G294" s="408"/>
      <c r="H294" s="408"/>
      <c r="I294" s="408"/>
      <c r="J294" s="408"/>
    </row>
    <row r="295" spans="1:10" ht="13.5" customHeight="1">
      <c r="A295" s="226" t="s">
        <v>1016</v>
      </c>
      <c r="B295" s="408" t="s">
        <v>2581</v>
      </c>
      <c r="C295" s="408"/>
      <c r="D295" s="408"/>
      <c r="E295" s="408"/>
      <c r="F295" s="408"/>
      <c r="G295" s="408"/>
      <c r="H295" s="408"/>
      <c r="I295" s="408"/>
      <c r="J295" s="408"/>
    </row>
    <row r="296" spans="1:10" ht="13.5" customHeight="1">
      <c r="A296" s="226" t="s">
        <v>1018</v>
      </c>
      <c r="B296" s="408" t="s">
        <v>2582</v>
      </c>
      <c r="C296" s="408"/>
      <c r="D296" s="408"/>
      <c r="E296" s="408"/>
      <c r="F296" s="408"/>
      <c r="G296" s="408"/>
      <c r="H296" s="408"/>
      <c r="I296" s="408"/>
      <c r="J296" s="408"/>
    </row>
    <row r="297" spans="1:10" ht="13.5" customHeight="1">
      <c r="A297" s="226" t="s">
        <v>1020</v>
      </c>
      <c r="B297" s="408" t="s">
        <v>2583</v>
      </c>
      <c r="C297" s="408"/>
      <c r="D297" s="408"/>
      <c r="E297" s="408"/>
      <c r="F297" s="408"/>
      <c r="G297" s="408"/>
      <c r="H297" s="408"/>
      <c r="I297" s="408"/>
      <c r="J297" s="408"/>
    </row>
    <row r="298" spans="1:10" ht="13.5" customHeight="1">
      <c r="A298" s="226" t="s">
        <v>1022</v>
      </c>
      <c r="B298" s="408" t="s">
        <v>2584</v>
      </c>
      <c r="C298" s="408"/>
      <c r="D298" s="408"/>
      <c r="E298" s="408"/>
      <c r="F298" s="408"/>
      <c r="G298" s="408"/>
      <c r="H298" s="408"/>
      <c r="I298" s="408"/>
      <c r="J298" s="408"/>
    </row>
    <row r="299" spans="1:10" ht="13.5" customHeight="1">
      <c r="A299" s="226" t="s">
        <v>1024</v>
      </c>
      <c r="B299" s="408" t="s">
        <v>2585</v>
      </c>
      <c r="C299" s="408"/>
      <c r="D299" s="408"/>
      <c r="E299" s="408"/>
      <c r="F299" s="408"/>
      <c r="G299" s="408"/>
      <c r="H299" s="408"/>
      <c r="I299" s="408"/>
      <c r="J299" s="408"/>
    </row>
    <row r="300" spans="1:10" ht="13.5" customHeight="1">
      <c r="A300" s="226" t="s">
        <v>1026</v>
      </c>
      <c r="B300" s="408" t="s">
        <v>2586</v>
      </c>
      <c r="C300" s="408"/>
      <c r="D300" s="408"/>
      <c r="E300" s="408"/>
      <c r="F300" s="408"/>
      <c r="G300" s="408"/>
      <c r="H300" s="408"/>
      <c r="I300" s="408"/>
      <c r="J300" s="408"/>
    </row>
    <row r="301" spans="1:10" ht="13.5" customHeight="1">
      <c r="A301" s="226" t="s">
        <v>1028</v>
      </c>
      <c r="B301" s="408" t="s">
        <v>2587</v>
      </c>
      <c r="C301" s="408"/>
      <c r="D301" s="408"/>
      <c r="E301" s="408"/>
      <c r="F301" s="408"/>
      <c r="G301" s="408"/>
      <c r="H301" s="408"/>
      <c r="I301" s="408"/>
      <c r="J301" s="408"/>
    </row>
    <row r="302" spans="1:10" ht="13.5" customHeight="1">
      <c r="A302" s="226" t="s">
        <v>1030</v>
      </c>
      <c r="B302" s="408" t="s">
        <v>2588</v>
      </c>
      <c r="C302" s="408"/>
      <c r="D302" s="408"/>
      <c r="E302" s="408"/>
      <c r="F302" s="408"/>
      <c r="G302" s="408"/>
      <c r="H302" s="408"/>
      <c r="I302" s="408"/>
      <c r="J302" s="408"/>
    </row>
    <row r="303" spans="1:10" ht="13.5" customHeight="1">
      <c r="A303" s="226" t="s">
        <v>1032</v>
      </c>
      <c r="B303" s="408" t="s">
        <v>2589</v>
      </c>
      <c r="C303" s="408"/>
      <c r="D303" s="408"/>
      <c r="E303" s="408"/>
      <c r="F303" s="408"/>
      <c r="G303" s="408"/>
      <c r="H303" s="408"/>
      <c r="I303" s="408"/>
      <c r="J303" s="408"/>
    </row>
    <row r="304" spans="1:10" ht="13.5" customHeight="1">
      <c r="A304" s="226" t="s">
        <v>1034</v>
      </c>
      <c r="B304" s="408" t="s">
        <v>2590</v>
      </c>
      <c r="C304" s="408"/>
      <c r="D304" s="408"/>
      <c r="E304" s="408"/>
      <c r="F304" s="408"/>
      <c r="G304" s="408"/>
      <c r="H304" s="408"/>
      <c r="I304" s="408"/>
      <c r="J304" s="408"/>
    </row>
    <row r="305" spans="1:10" ht="13.5" customHeight="1">
      <c r="A305" s="226" t="s">
        <v>1036</v>
      </c>
      <c r="B305" s="408" t="s">
        <v>2591</v>
      </c>
      <c r="C305" s="408"/>
      <c r="D305" s="408"/>
      <c r="E305" s="408"/>
      <c r="F305" s="408"/>
      <c r="G305" s="408"/>
      <c r="H305" s="408"/>
      <c r="I305" s="408"/>
      <c r="J305" s="408"/>
    </row>
    <row r="306" spans="1:10" ht="13.5" customHeight="1">
      <c r="A306" s="226" t="s">
        <v>1038</v>
      </c>
      <c r="B306" s="408" t="s">
        <v>2592</v>
      </c>
      <c r="C306" s="408"/>
      <c r="D306" s="408"/>
      <c r="E306" s="408"/>
      <c r="F306" s="408"/>
      <c r="G306" s="408"/>
      <c r="H306" s="408"/>
      <c r="I306" s="408"/>
      <c r="J306" s="408"/>
    </row>
    <row r="307" spans="1:10" ht="13.5" customHeight="1">
      <c r="A307" s="226" t="s">
        <v>383</v>
      </c>
      <c r="B307" s="408" t="s">
        <v>2593</v>
      </c>
      <c r="C307" s="408"/>
      <c r="D307" s="408"/>
      <c r="E307" s="408"/>
      <c r="F307" s="408"/>
      <c r="G307" s="408"/>
      <c r="H307" s="408"/>
      <c r="I307" s="408"/>
      <c r="J307" s="408"/>
    </row>
    <row r="308" spans="1:10" ht="13.5" customHeight="1">
      <c r="A308" s="226" t="s">
        <v>1041</v>
      </c>
      <c r="B308" s="408" t="s">
        <v>2594</v>
      </c>
      <c r="C308" s="408"/>
      <c r="D308" s="408"/>
      <c r="E308" s="408"/>
      <c r="F308" s="408"/>
      <c r="G308" s="408"/>
      <c r="H308" s="408"/>
      <c r="I308" s="408"/>
      <c r="J308" s="408"/>
    </row>
    <row r="309" spans="1:10" ht="13.5" customHeight="1">
      <c r="A309" s="226" t="s">
        <v>1043</v>
      </c>
      <c r="B309" s="408" t="s">
        <v>2595</v>
      </c>
      <c r="C309" s="408"/>
      <c r="D309" s="408"/>
      <c r="E309" s="408"/>
      <c r="F309" s="408"/>
      <c r="G309" s="408"/>
      <c r="H309" s="408"/>
      <c r="I309" s="408"/>
      <c r="J309" s="408"/>
    </row>
    <row r="310" spans="1:10" ht="13.5" customHeight="1">
      <c r="A310" s="226" t="s">
        <v>1045</v>
      </c>
      <c r="B310" s="408" t="s">
        <v>2596</v>
      </c>
      <c r="C310" s="408"/>
      <c r="D310" s="408"/>
      <c r="E310" s="408"/>
      <c r="F310" s="408"/>
      <c r="G310" s="408"/>
      <c r="H310" s="408"/>
      <c r="I310" s="408"/>
      <c r="J310" s="408"/>
    </row>
    <row r="311" spans="1:10" ht="13.5" customHeight="1">
      <c r="A311" s="226" t="s">
        <v>1047</v>
      </c>
      <c r="B311" s="408" t="s">
        <v>2597</v>
      </c>
      <c r="C311" s="408"/>
      <c r="D311" s="408"/>
      <c r="E311" s="408"/>
      <c r="F311" s="408"/>
      <c r="G311" s="408"/>
      <c r="H311" s="408"/>
      <c r="I311" s="408"/>
      <c r="J311" s="408"/>
    </row>
    <row r="312" spans="1:10" ht="13.5" customHeight="1">
      <c r="A312" s="226" t="s">
        <v>1049</v>
      </c>
      <c r="B312" s="408" t="s">
        <v>2598</v>
      </c>
      <c r="C312" s="408"/>
      <c r="D312" s="408"/>
      <c r="E312" s="408"/>
      <c r="F312" s="408"/>
      <c r="G312" s="408"/>
      <c r="H312" s="408"/>
      <c r="I312" s="408"/>
      <c r="J312" s="408"/>
    </row>
    <row r="313" spans="1:10" ht="13.5" customHeight="1">
      <c r="A313" s="226" t="s">
        <v>1051</v>
      </c>
      <c r="B313" s="408" t="s">
        <v>2599</v>
      </c>
      <c r="C313" s="408"/>
      <c r="D313" s="408"/>
      <c r="E313" s="408"/>
      <c r="F313" s="408"/>
      <c r="G313" s="408"/>
      <c r="H313" s="408"/>
      <c r="I313" s="408"/>
      <c r="J313" s="408"/>
    </row>
    <row r="314" spans="1:10" ht="13.5" customHeight="1">
      <c r="A314" s="226" t="s">
        <v>1053</v>
      </c>
      <c r="B314" s="408" t="s">
        <v>2600</v>
      </c>
      <c r="C314" s="408"/>
      <c r="D314" s="408"/>
      <c r="E314" s="408"/>
      <c r="F314" s="408"/>
      <c r="G314" s="408"/>
      <c r="H314" s="408"/>
      <c r="I314" s="408"/>
      <c r="J314" s="408"/>
    </row>
    <row r="315" spans="1:10" ht="13.5" customHeight="1">
      <c r="A315" s="226" t="s">
        <v>1055</v>
      </c>
      <c r="B315" s="408" t="s">
        <v>2601</v>
      </c>
      <c r="C315" s="408"/>
      <c r="D315" s="408"/>
      <c r="E315" s="408"/>
      <c r="F315" s="408"/>
      <c r="G315" s="408"/>
      <c r="H315" s="408"/>
      <c r="I315" s="408"/>
      <c r="J315" s="408"/>
    </row>
    <row r="316" spans="1:10" ht="13.5" customHeight="1">
      <c r="A316" s="226" t="s">
        <v>1057</v>
      </c>
      <c r="B316" s="408" t="s">
        <v>2602</v>
      </c>
      <c r="C316" s="408"/>
      <c r="D316" s="408"/>
      <c r="E316" s="408"/>
      <c r="F316" s="408"/>
      <c r="G316" s="408"/>
      <c r="H316" s="408"/>
      <c r="I316" s="408"/>
      <c r="J316" s="408"/>
    </row>
    <row r="317" spans="1:10" ht="13.5" customHeight="1">
      <c r="A317" s="226" t="s">
        <v>1059</v>
      </c>
      <c r="B317" s="408" t="s">
        <v>2603</v>
      </c>
      <c r="C317" s="408"/>
      <c r="D317" s="408"/>
      <c r="E317" s="408"/>
      <c r="F317" s="408"/>
      <c r="G317" s="408"/>
      <c r="H317" s="408"/>
      <c r="I317" s="408"/>
      <c r="J317" s="408"/>
    </row>
    <row r="318" spans="1:10" ht="13.5" customHeight="1">
      <c r="A318" s="226" t="s">
        <v>1061</v>
      </c>
      <c r="B318" s="408" t="s">
        <v>2604</v>
      </c>
      <c r="C318" s="408"/>
      <c r="D318" s="408"/>
      <c r="E318" s="408"/>
      <c r="F318" s="408"/>
      <c r="G318" s="408"/>
      <c r="H318" s="408"/>
      <c r="I318" s="408"/>
      <c r="J318" s="408"/>
    </row>
    <row r="319" spans="1:10" ht="13.5" customHeight="1">
      <c r="A319" s="226" t="s">
        <v>1063</v>
      </c>
      <c r="B319" s="408" t="s">
        <v>2605</v>
      </c>
      <c r="C319" s="408"/>
      <c r="D319" s="408"/>
      <c r="E319" s="408"/>
      <c r="F319" s="408"/>
      <c r="G319" s="408"/>
      <c r="H319" s="408"/>
      <c r="I319" s="408"/>
      <c r="J319" s="408"/>
    </row>
    <row r="320" spans="1:10" ht="13.5" customHeight="1">
      <c r="A320" s="226" t="s">
        <v>1065</v>
      </c>
      <c r="B320" s="408" t="s">
        <v>2606</v>
      </c>
      <c r="C320" s="408"/>
      <c r="D320" s="408"/>
      <c r="E320" s="408"/>
      <c r="F320" s="408"/>
      <c r="G320" s="408"/>
      <c r="H320" s="408"/>
      <c r="I320" s="408"/>
      <c r="J320" s="408"/>
    </row>
    <row r="321" spans="1:10" ht="13.5" customHeight="1">
      <c r="A321" s="226" t="s">
        <v>1067</v>
      </c>
      <c r="B321" s="408" t="s">
        <v>2607</v>
      </c>
      <c r="C321" s="408"/>
      <c r="D321" s="408"/>
      <c r="E321" s="408"/>
      <c r="F321" s="408"/>
      <c r="G321" s="408"/>
      <c r="H321" s="408"/>
      <c r="I321" s="408"/>
      <c r="J321" s="408"/>
    </row>
    <row r="322" spans="1:10" ht="13.5" customHeight="1">
      <c r="A322" s="226" t="s">
        <v>1069</v>
      </c>
      <c r="B322" s="408" t="s">
        <v>2608</v>
      </c>
      <c r="C322" s="408"/>
      <c r="D322" s="408"/>
      <c r="E322" s="408"/>
      <c r="F322" s="408"/>
      <c r="G322" s="408"/>
      <c r="H322" s="408"/>
      <c r="I322" s="408"/>
      <c r="J322" s="408"/>
    </row>
    <row r="323" spans="1:10" ht="13.5" customHeight="1">
      <c r="A323" s="226" t="s">
        <v>1071</v>
      </c>
      <c r="B323" s="408" t="s">
        <v>2609</v>
      </c>
      <c r="C323" s="408"/>
      <c r="D323" s="408"/>
      <c r="E323" s="408"/>
      <c r="F323" s="408"/>
      <c r="G323" s="408"/>
      <c r="H323" s="408"/>
      <c r="I323" s="408"/>
      <c r="J323" s="408"/>
    </row>
    <row r="324" spans="1:10" ht="13.5" customHeight="1">
      <c r="A324" s="226" t="s">
        <v>1073</v>
      </c>
      <c r="B324" s="408" t="s">
        <v>2610</v>
      </c>
      <c r="C324" s="408"/>
      <c r="D324" s="408"/>
      <c r="E324" s="408"/>
      <c r="F324" s="408"/>
      <c r="G324" s="408"/>
      <c r="H324" s="408"/>
      <c r="I324" s="408"/>
      <c r="J324" s="408"/>
    </row>
    <row r="325" spans="1:10" ht="13.5" customHeight="1">
      <c r="A325" s="226" t="s">
        <v>1075</v>
      </c>
      <c r="B325" s="408" t="s">
        <v>2611</v>
      </c>
      <c r="C325" s="408"/>
      <c r="D325" s="408"/>
      <c r="E325" s="408"/>
      <c r="F325" s="408"/>
      <c r="G325" s="408"/>
      <c r="H325" s="408"/>
      <c r="I325" s="408"/>
      <c r="J325" s="408"/>
    </row>
    <row r="326" spans="1:10" ht="13.5" customHeight="1">
      <c r="A326" s="226" t="s">
        <v>1077</v>
      </c>
      <c r="B326" s="408" t="s">
        <v>2612</v>
      </c>
      <c r="C326" s="408"/>
      <c r="D326" s="408"/>
      <c r="E326" s="408"/>
      <c r="F326" s="408"/>
      <c r="G326" s="408"/>
      <c r="H326" s="408"/>
      <c r="I326" s="408"/>
      <c r="J326" s="408"/>
    </row>
    <row r="327" spans="1:10" ht="13.5" customHeight="1">
      <c r="A327" s="226" t="s">
        <v>1079</v>
      </c>
      <c r="B327" s="408" t="s">
        <v>2613</v>
      </c>
      <c r="C327" s="408"/>
      <c r="D327" s="408"/>
      <c r="E327" s="408"/>
      <c r="F327" s="408"/>
      <c r="G327" s="408"/>
      <c r="H327" s="408"/>
      <c r="I327" s="408"/>
      <c r="J327" s="408"/>
    </row>
    <row r="328" spans="1:10" ht="13.5" customHeight="1">
      <c r="A328" s="226" t="s">
        <v>1081</v>
      </c>
      <c r="B328" s="408" t="s">
        <v>2614</v>
      </c>
      <c r="C328" s="408"/>
      <c r="D328" s="408"/>
      <c r="E328" s="408"/>
      <c r="F328" s="408"/>
      <c r="G328" s="408"/>
      <c r="H328" s="408"/>
      <c r="I328" s="408"/>
      <c r="J328" s="408"/>
    </row>
    <row r="329" spans="1:10" ht="13.5" customHeight="1">
      <c r="A329" s="226" t="s">
        <v>1083</v>
      </c>
      <c r="B329" s="408" t="s">
        <v>2615</v>
      </c>
      <c r="C329" s="408"/>
      <c r="D329" s="408"/>
      <c r="E329" s="408"/>
      <c r="F329" s="408"/>
      <c r="G329" s="408"/>
      <c r="H329" s="408"/>
      <c r="I329" s="408"/>
      <c r="J329" s="408"/>
    </row>
    <row r="330" spans="1:10" ht="13.5" customHeight="1">
      <c r="A330" s="226" t="s">
        <v>1085</v>
      </c>
      <c r="B330" s="408" t="s">
        <v>2616</v>
      </c>
      <c r="C330" s="408"/>
      <c r="D330" s="408"/>
      <c r="E330" s="408"/>
      <c r="F330" s="408"/>
      <c r="G330" s="408"/>
      <c r="H330" s="408"/>
      <c r="I330" s="408"/>
      <c r="J330" s="408"/>
    </row>
    <row r="331" spans="1:10" ht="13.5" customHeight="1">
      <c r="A331" s="226" t="s">
        <v>1087</v>
      </c>
      <c r="B331" s="408" t="s">
        <v>2617</v>
      </c>
      <c r="C331" s="408"/>
      <c r="D331" s="408"/>
      <c r="E331" s="408"/>
      <c r="F331" s="408"/>
      <c r="G331" s="408"/>
      <c r="H331" s="408"/>
      <c r="I331" s="408"/>
      <c r="J331" s="408"/>
    </row>
    <row r="332" spans="1:10" ht="13.5" customHeight="1">
      <c r="A332" s="226" t="s">
        <v>1089</v>
      </c>
      <c r="B332" s="408" t="s">
        <v>2618</v>
      </c>
      <c r="C332" s="408"/>
      <c r="D332" s="408"/>
      <c r="E332" s="408"/>
      <c r="F332" s="408"/>
      <c r="G332" s="408"/>
      <c r="H332" s="408"/>
      <c r="I332" s="408"/>
      <c r="J332" s="408"/>
    </row>
    <row r="333" spans="1:10" ht="13.5" customHeight="1">
      <c r="A333" s="226" t="s">
        <v>1091</v>
      </c>
      <c r="B333" s="408" t="s">
        <v>2619</v>
      </c>
      <c r="C333" s="408"/>
      <c r="D333" s="408"/>
      <c r="E333" s="408"/>
      <c r="F333" s="408"/>
      <c r="G333" s="408"/>
      <c r="H333" s="408"/>
      <c r="I333" s="408"/>
      <c r="J333" s="408"/>
    </row>
    <row r="334" spans="1:10" ht="13.5" customHeight="1">
      <c r="A334" s="226" t="s">
        <v>1093</v>
      </c>
      <c r="B334" s="408" t="s">
        <v>2620</v>
      </c>
      <c r="C334" s="408"/>
      <c r="D334" s="408"/>
      <c r="E334" s="408"/>
      <c r="F334" s="408"/>
      <c r="G334" s="408"/>
      <c r="H334" s="408"/>
      <c r="I334" s="408"/>
      <c r="J334" s="408"/>
    </row>
    <row r="335" spans="1:10" ht="13.5" customHeight="1">
      <c r="A335" s="226" t="s">
        <v>1095</v>
      </c>
      <c r="B335" s="408" t="s">
        <v>2621</v>
      </c>
      <c r="C335" s="408"/>
      <c r="D335" s="408"/>
      <c r="E335" s="408"/>
      <c r="F335" s="408"/>
      <c r="G335" s="408"/>
      <c r="H335" s="408"/>
      <c r="I335" s="408"/>
      <c r="J335" s="408"/>
    </row>
    <row r="336" spans="1:10" ht="13.5" customHeight="1">
      <c r="A336" s="226" t="s">
        <v>1097</v>
      </c>
      <c r="B336" s="408" t="s">
        <v>2622</v>
      </c>
      <c r="C336" s="408"/>
      <c r="D336" s="408"/>
      <c r="E336" s="408"/>
      <c r="F336" s="408"/>
      <c r="G336" s="408"/>
      <c r="H336" s="408"/>
      <c r="I336" s="408"/>
      <c r="J336" s="408"/>
    </row>
    <row r="337" spans="1:10" ht="13.5" customHeight="1">
      <c r="A337" s="226" t="s">
        <v>1099</v>
      </c>
      <c r="B337" s="408" t="s">
        <v>2623</v>
      </c>
      <c r="C337" s="408"/>
      <c r="D337" s="408"/>
      <c r="E337" s="408"/>
      <c r="F337" s="408"/>
      <c r="G337" s="408"/>
      <c r="H337" s="408"/>
      <c r="I337" s="408"/>
      <c r="J337" s="408"/>
    </row>
    <row r="338" spans="1:10" ht="13.5" customHeight="1">
      <c r="A338" s="226" t="s">
        <v>1101</v>
      </c>
      <c r="B338" s="408" t="s">
        <v>2624</v>
      </c>
      <c r="C338" s="408"/>
      <c r="D338" s="408"/>
      <c r="E338" s="408"/>
      <c r="F338" s="408"/>
      <c r="G338" s="408"/>
      <c r="H338" s="408"/>
      <c r="I338" s="408"/>
      <c r="J338" s="408"/>
    </row>
    <row r="339" spans="1:10" ht="13.5" customHeight="1">
      <c r="A339" s="226" t="s">
        <v>1103</v>
      </c>
      <c r="B339" s="408" t="s">
        <v>2625</v>
      </c>
      <c r="C339" s="408"/>
      <c r="D339" s="408"/>
      <c r="E339" s="408"/>
      <c r="F339" s="408"/>
      <c r="G339" s="408"/>
      <c r="H339" s="408"/>
      <c r="I339" s="408"/>
      <c r="J339" s="408"/>
    </row>
    <row r="340" spans="1:10" ht="13.5" customHeight="1">
      <c r="A340" s="226" t="s">
        <v>1105</v>
      </c>
      <c r="B340" s="408" t="s">
        <v>2626</v>
      </c>
      <c r="C340" s="408"/>
      <c r="D340" s="408"/>
      <c r="E340" s="408"/>
      <c r="F340" s="408"/>
      <c r="G340" s="408"/>
      <c r="H340" s="408"/>
      <c r="I340" s="408"/>
      <c r="J340" s="408"/>
    </row>
    <row r="341" spans="1:10" ht="13.5" customHeight="1">
      <c r="A341" s="226" t="s">
        <v>1107</v>
      </c>
      <c r="B341" s="408" t="s">
        <v>2627</v>
      </c>
      <c r="C341" s="408"/>
      <c r="D341" s="408"/>
      <c r="E341" s="408"/>
      <c r="F341" s="408"/>
      <c r="G341" s="408"/>
      <c r="H341" s="408"/>
      <c r="I341" s="408"/>
      <c r="J341" s="408"/>
    </row>
    <row r="342" spans="1:10" ht="13.5" customHeight="1">
      <c r="A342" s="226" t="s">
        <v>1109</v>
      </c>
      <c r="B342" s="408" t="s">
        <v>2628</v>
      </c>
      <c r="C342" s="408"/>
      <c r="D342" s="408"/>
      <c r="E342" s="408"/>
      <c r="F342" s="408"/>
      <c r="G342" s="408"/>
      <c r="H342" s="408"/>
      <c r="I342" s="408"/>
      <c r="J342" s="408"/>
    </row>
    <row r="343" spans="1:10" ht="13.5" customHeight="1">
      <c r="A343" s="226" t="s">
        <v>1111</v>
      </c>
      <c r="B343" s="408" t="s">
        <v>2629</v>
      </c>
      <c r="C343" s="408"/>
      <c r="D343" s="408"/>
      <c r="E343" s="408"/>
      <c r="F343" s="408"/>
      <c r="G343" s="408"/>
      <c r="H343" s="408"/>
      <c r="I343" s="408"/>
      <c r="J343" s="408"/>
    </row>
    <row r="344" spans="1:10" ht="13.5" customHeight="1">
      <c r="A344" s="226" t="s">
        <v>1113</v>
      </c>
      <c r="B344" s="408" t="s">
        <v>2630</v>
      </c>
      <c r="C344" s="408"/>
      <c r="D344" s="408"/>
      <c r="E344" s="408"/>
      <c r="F344" s="408"/>
      <c r="G344" s="408"/>
      <c r="H344" s="408"/>
      <c r="I344" s="408"/>
      <c r="J344" s="408"/>
    </row>
    <row r="345" spans="1:10" ht="13.5" customHeight="1">
      <c r="A345" s="226" t="s">
        <v>1115</v>
      </c>
      <c r="B345" s="408" t="s">
        <v>2631</v>
      </c>
      <c r="C345" s="408"/>
      <c r="D345" s="408"/>
      <c r="E345" s="408"/>
      <c r="F345" s="408"/>
      <c r="G345" s="408"/>
      <c r="H345" s="408"/>
      <c r="I345" s="408"/>
      <c r="J345" s="408"/>
    </row>
    <row r="346" spans="1:10" ht="13.5" customHeight="1">
      <c r="A346" s="226" t="s">
        <v>1117</v>
      </c>
      <c r="B346" s="408" t="s">
        <v>2632</v>
      </c>
      <c r="C346" s="408"/>
      <c r="D346" s="408"/>
      <c r="E346" s="408"/>
      <c r="F346" s="408"/>
      <c r="G346" s="408"/>
      <c r="H346" s="408"/>
      <c r="I346" s="408"/>
      <c r="J346" s="408"/>
    </row>
    <row r="347" spans="1:10" ht="13.5" customHeight="1">
      <c r="A347" s="226" t="s">
        <v>1119</v>
      </c>
      <c r="B347" s="408" t="s">
        <v>2633</v>
      </c>
      <c r="C347" s="408"/>
      <c r="D347" s="408"/>
      <c r="E347" s="408"/>
      <c r="F347" s="408"/>
      <c r="G347" s="408"/>
      <c r="H347" s="408"/>
      <c r="I347" s="408"/>
      <c r="J347" s="408"/>
    </row>
    <row r="348" spans="1:10" ht="13.5" customHeight="1">
      <c r="A348" s="226" t="s">
        <v>1121</v>
      </c>
      <c r="B348" s="408" t="s">
        <v>2634</v>
      </c>
      <c r="C348" s="408"/>
      <c r="D348" s="408"/>
      <c r="E348" s="408"/>
      <c r="F348" s="408"/>
      <c r="G348" s="408"/>
      <c r="H348" s="408"/>
      <c r="I348" s="408"/>
      <c r="J348" s="408"/>
    </row>
    <row r="349" spans="1:10" ht="13.5" customHeight="1">
      <c r="A349" s="226" t="s">
        <v>1123</v>
      </c>
      <c r="B349" s="408" t="s">
        <v>2635</v>
      </c>
      <c r="C349" s="408"/>
      <c r="D349" s="408"/>
      <c r="E349" s="408"/>
      <c r="F349" s="408"/>
      <c r="G349" s="408"/>
      <c r="H349" s="408"/>
      <c r="I349" s="408"/>
      <c r="J349" s="408"/>
    </row>
    <row r="350" spans="1:10" ht="13.5" customHeight="1">
      <c r="A350" s="226" t="s">
        <v>1125</v>
      </c>
      <c r="B350" s="408" t="s">
        <v>2636</v>
      </c>
      <c r="C350" s="408"/>
      <c r="D350" s="408"/>
      <c r="E350" s="408"/>
      <c r="F350" s="408"/>
      <c r="G350" s="408"/>
      <c r="H350" s="408"/>
      <c r="I350" s="408"/>
      <c r="J350" s="408"/>
    </row>
    <row r="351" spans="1:10" ht="13.5" customHeight="1">
      <c r="A351" s="226" t="s">
        <v>1127</v>
      </c>
      <c r="B351" s="408" t="s">
        <v>2637</v>
      </c>
      <c r="C351" s="408"/>
      <c r="D351" s="408"/>
      <c r="E351" s="408"/>
      <c r="F351" s="408"/>
      <c r="G351" s="408"/>
      <c r="H351" s="408"/>
      <c r="I351" s="408"/>
      <c r="J351" s="408"/>
    </row>
    <row r="352" spans="1:10" ht="13.5" customHeight="1">
      <c r="A352" s="226" t="s">
        <v>1129</v>
      </c>
      <c r="B352" s="408" t="s">
        <v>2638</v>
      </c>
      <c r="C352" s="408"/>
      <c r="D352" s="408"/>
      <c r="E352" s="408"/>
      <c r="F352" s="408"/>
      <c r="G352" s="408"/>
      <c r="H352" s="408"/>
      <c r="I352" s="408"/>
      <c r="J352" s="408"/>
    </row>
    <row r="353" spans="1:10" ht="13.5" customHeight="1">
      <c r="A353" s="226" t="s">
        <v>1131</v>
      </c>
      <c r="B353" s="408" t="s">
        <v>2639</v>
      </c>
      <c r="C353" s="408"/>
      <c r="D353" s="408"/>
      <c r="E353" s="408"/>
      <c r="F353" s="408"/>
      <c r="G353" s="408"/>
      <c r="H353" s="408"/>
      <c r="I353" s="408"/>
      <c r="J353" s="408"/>
    </row>
    <row r="354" spans="1:10" ht="13.5" customHeight="1">
      <c r="A354" s="226" t="s">
        <v>1133</v>
      </c>
      <c r="B354" s="408" t="s">
        <v>2640</v>
      </c>
      <c r="C354" s="408"/>
      <c r="D354" s="408"/>
      <c r="E354" s="408"/>
      <c r="F354" s="408"/>
      <c r="G354" s="408"/>
      <c r="H354" s="408"/>
      <c r="I354" s="408"/>
      <c r="J354" s="408"/>
    </row>
    <row r="355" spans="1:10" ht="13.5" customHeight="1">
      <c r="A355" s="226" t="s">
        <v>1135</v>
      </c>
      <c r="B355" s="408" t="s">
        <v>2641</v>
      </c>
      <c r="C355" s="408"/>
      <c r="D355" s="408"/>
      <c r="E355" s="408"/>
      <c r="F355" s="408"/>
      <c r="G355" s="408"/>
      <c r="H355" s="408"/>
      <c r="I355" s="408"/>
      <c r="J355" s="408"/>
    </row>
    <row r="356" spans="1:10" ht="13.5" customHeight="1">
      <c r="A356" s="226" t="s">
        <v>1137</v>
      </c>
      <c r="B356" s="408" t="s">
        <v>2642</v>
      </c>
      <c r="C356" s="408"/>
      <c r="D356" s="408"/>
      <c r="E356" s="408"/>
      <c r="F356" s="408"/>
      <c r="G356" s="408"/>
      <c r="H356" s="408"/>
      <c r="I356" s="408"/>
      <c r="J356" s="408"/>
    </row>
    <row r="357" spans="1:10" ht="13.5" customHeight="1">
      <c r="A357" s="226" t="s">
        <v>1139</v>
      </c>
      <c r="B357" s="408" t="s">
        <v>2643</v>
      </c>
      <c r="C357" s="408"/>
      <c r="D357" s="408"/>
      <c r="E357" s="408"/>
      <c r="F357" s="408"/>
      <c r="G357" s="408"/>
      <c r="H357" s="408"/>
      <c r="I357" s="408"/>
      <c r="J357" s="408"/>
    </row>
    <row r="358" spans="1:10" ht="13.5" customHeight="1">
      <c r="A358" s="226" t="s">
        <v>1141</v>
      </c>
      <c r="B358" s="408" t="s">
        <v>2644</v>
      </c>
      <c r="C358" s="408"/>
      <c r="D358" s="408"/>
      <c r="E358" s="408"/>
      <c r="F358" s="408"/>
      <c r="G358" s="408"/>
      <c r="H358" s="408"/>
      <c r="I358" s="408"/>
      <c r="J358" s="408"/>
    </row>
    <row r="359" spans="1:10" ht="13.5" customHeight="1">
      <c r="A359" s="226" t="s">
        <v>1143</v>
      </c>
      <c r="B359" s="408" t="s">
        <v>2645</v>
      </c>
      <c r="C359" s="408"/>
      <c r="D359" s="408"/>
      <c r="E359" s="408"/>
      <c r="F359" s="408"/>
      <c r="G359" s="408"/>
      <c r="H359" s="408"/>
      <c r="I359" s="408"/>
      <c r="J359" s="408"/>
    </row>
    <row r="360" spans="1:10" ht="13.5" customHeight="1">
      <c r="A360" s="226" t="s">
        <v>1145</v>
      </c>
      <c r="B360" s="408" t="s">
        <v>2646</v>
      </c>
      <c r="C360" s="408"/>
      <c r="D360" s="408"/>
      <c r="E360" s="408"/>
      <c r="F360" s="408"/>
      <c r="G360" s="408"/>
      <c r="H360" s="408"/>
      <c r="I360" s="408"/>
      <c r="J360" s="408"/>
    </row>
    <row r="361" spans="1:10" ht="13.5" customHeight="1">
      <c r="A361" s="226" t="s">
        <v>1147</v>
      </c>
      <c r="B361" s="408" t="s">
        <v>2647</v>
      </c>
      <c r="C361" s="408"/>
      <c r="D361" s="408"/>
      <c r="E361" s="408"/>
      <c r="F361" s="408"/>
      <c r="G361" s="408"/>
      <c r="H361" s="408"/>
      <c r="I361" s="408"/>
      <c r="J361" s="408"/>
    </row>
    <row r="362" spans="1:10" ht="13.5" customHeight="1">
      <c r="A362" s="226" t="s">
        <v>1149</v>
      </c>
      <c r="B362" s="408" t="s">
        <v>2648</v>
      </c>
      <c r="C362" s="408"/>
      <c r="D362" s="408"/>
      <c r="E362" s="408"/>
      <c r="F362" s="408"/>
      <c r="G362" s="408"/>
      <c r="H362" s="408"/>
      <c r="I362" s="408"/>
      <c r="J362" s="408"/>
    </row>
    <row r="363" spans="1:10" ht="13.5" customHeight="1">
      <c r="A363" s="226" t="s">
        <v>1151</v>
      </c>
      <c r="B363" s="408" t="s">
        <v>2649</v>
      </c>
      <c r="C363" s="408"/>
      <c r="D363" s="408"/>
      <c r="E363" s="408"/>
      <c r="F363" s="408"/>
      <c r="G363" s="408"/>
      <c r="H363" s="408"/>
      <c r="I363" s="408"/>
      <c r="J363" s="408"/>
    </row>
    <row r="364" spans="1:10" ht="13.5" customHeight="1">
      <c r="A364" s="226" t="s">
        <v>1153</v>
      </c>
      <c r="B364" s="408" t="s">
        <v>2650</v>
      </c>
      <c r="C364" s="408"/>
      <c r="D364" s="408"/>
      <c r="E364" s="408"/>
      <c r="F364" s="408"/>
      <c r="G364" s="408"/>
      <c r="H364" s="408"/>
      <c r="I364" s="408"/>
      <c r="J364" s="408"/>
    </row>
    <row r="365" spans="1:10" ht="13.5" customHeight="1">
      <c r="A365" s="226" t="s">
        <v>1155</v>
      </c>
      <c r="B365" s="408" t="s">
        <v>2651</v>
      </c>
      <c r="C365" s="408"/>
      <c r="D365" s="408"/>
      <c r="E365" s="408"/>
      <c r="F365" s="408"/>
      <c r="G365" s="408"/>
      <c r="H365" s="408"/>
      <c r="I365" s="408"/>
      <c r="J365" s="408"/>
    </row>
    <row r="366" spans="1:10" ht="13.5" customHeight="1">
      <c r="A366" s="226" t="s">
        <v>1157</v>
      </c>
      <c r="B366" s="408" t="s">
        <v>2652</v>
      </c>
      <c r="C366" s="408"/>
      <c r="D366" s="408"/>
      <c r="E366" s="408"/>
      <c r="F366" s="408"/>
      <c r="G366" s="408"/>
      <c r="H366" s="408"/>
      <c r="I366" s="408"/>
      <c r="J366" s="408"/>
    </row>
    <row r="367" spans="1:10" ht="13.5" customHeight="1">
      <c r="A367" s="226" t="s">
        <v>1159</v>
      </c>
      <c r="B367" s="408" t="s">
        <v>2653</v>
      </c>
      <c r="C367" s="408"/>
      <c r="D367" s="408"/>
      <c r="E367" s="408"/>
      <c r="F367" s="408"/>
      <c r="G367" s="408"/>
      <c r="H367" s="408"/>
      <c r="I367" s="408"/>
      <c r="J367" s="408"/>
    </row>
    <row r="368" spans="1:10" ht="13.5" customHeight="1">
      <c r="A368" s="226" t="s">
        <v>1161</v>
      </c>
      <c r="B368" s="408" t="s">
        <v>2654</v>
      </c>
      <c r="C368" s="408"/>
      <c r="D368" s="408"/>
      <c r="E368" s="408"/>
      <c r="F368" s="408"/>
      <c r="G368" s="408"/>
      <c r="H368" s="408"/>
      <c r="I368" s="408"/>
      <c r="J368" s="408"/>
    </row>
    <row r="369" spans="1:10" ht="13.5" customHeight="1">
      <c r="A369" s="226" t="s">
        <v>1163</v>
      </c>
      <c r="B369" s="408" t="s">
        <v>2655</v>
      </c>
      <c r="C369" s="408"/>
      <c r="D369" s="408"/>
      <c r="E369" s="408"/>
      <c r="F369" s="408"/>
      <c r="G369" s="408"/>
      <c r="H369" s="408"/>
      <c r="I369" s="408"/>
      <c r="J369" s="408"/>
    </row>
    <row r="370" spans="1:10" ht="13.5" customHeight="1">
      <c r="A370" s="226" t="s">
        <v>1165</v>
      </c>
      <c r="B370" s="408" t="s">
        <v>2656</v>
      </c>
      <c r="C370" s="408"/>
      <c r="D370" s="408"/>
      <c r="E370" s="408"/>
      <c r="F370" s="408"/>
      <c r="G370" s="408"/>
      <c r="H370" s="408"/>
      <c r="I370" s="408"/>
      <c r="J370" s="408"/>
    </row>
    <row r="371" spans="1:10" ht="13.5" customHeight="1">
      <c r="A371" s="226" t="s">
        <v>1167</v>
      </c>
      <c r="B371" s="408" t="s">
        <v>2657</v>
      </c>
      <c r="C371" s="408"/>
      <c r="D371" s="408"/>
      <c r="E371" s="408"/>
      <c r="F371" s="408"/>
      <c r="G371" s="408"/>
      <c r="H371" s="408"/>
      <c r="I371" s="408"/>
      <c r="J371" s="408"/>
    </row>
    <row r="372" spans="1:10" ht="13.5" customHeight="1">
      <c r="A372" s="226" t="s">
        <v>1169</v>
      </c>
      <c r="B372" s="408" t="s">
        <v>2658</v>
      </c>
      <c r="C372" s="408"/>
      <c r="D372" s="408"/>
      <c r="E372" s="408"/>
      <c r="F372" s="408"/>
      <c r="G372" s="408"/>
      <c r="H372" s="408"/>
      <c r="I372" s="408"/>
      <c r="J372" s="408"/>
    </row>
    <row r="373" spans="1:10" ht="13.5" customHeight="1">
      <c r="A373" s="226" t="s">
        <v>1171</v>
      </c>
      <c r="B373" s="408" t="s">
        <v>2659</v>
      </c>
      <c r="C373" s="408"/>
      <c r="D373" s="408"/>
      <c r="E373" s="408"/>
      <c r="F373" s="408"/>
      <c r="G373" s="408"/>
      <c r="H373" s="408"/>
      <c r="I373" s="408"/>
      <c r="J373" s="408"/>
    </row>
    <row r="374" spans="1:10" ht="13.5" customHeight="1">
      <c r="A374" s="226" t="s">
        <v>1173</v>
      </c>
      <c r="B374" s="408" t="s">
        <v>2660</v>
      </c>
      <c r="C374" s="408"/>
      <c r="D374" s="408"/>
      <c r="E374" s="408"/>
      <c r="F374" s="408"/>
      <c r="G374" s="408"/>
      <c r="H374" s="408"/>
      <c r="I374" s="408"/>
      <c r="J374" s="408"/>
    </row>
    <row r="375" spans="1:10" ht="13.5" customHeight="1">
      <c r="A375" s="226" t="s">
        <v>1175</v>
      </c>
      <c r="B375" s="408" t="s">
        <v>2661</v>
      </c>
      <c r="C375" s="408"/>
      <c r="D375" s="408"/>
      <c r="E375" s="408"/>
      <c r="F375" s="408"/>
      <c r="G375" s="408"/>
      <c r="H375" s="408"/>
      <c r="I375" s="408"/>
      <c r="J375" s="408"/>
    </row>
    <row r="376" spans="1:10" ht="13.5" customHeight="1">
      <c r="A376" s="226" t="s">
        <v>1177</v>
      </c>
      <c r="B376" s="408" t="s">
        <v>2662</v>
      </c>
      <c r="C376" s="408"/>
      <c r="D376" s="408"/>
      <c r="E376" s="408"/>
      <c r="F376" s="408"/>
      <c r="G376" s="408"/>
      <c r="H376" s="408"/>
      <c r="I376" s="408"/>
      <c r="J376" s="408"/>
    </row>
    <row r="377" spans="1:10" ht="13.5" customHeight="1">
      <c r="A377" s="226" t="s">
        <v>1179</v>
      </c>
      <c r="B377" s="408" t="s">
        <v>2663</v>
      </c>
      <c r="C377" s="408"/>
      <c r="D377" s="408"/>
      <c r="E377" s="408"/>
      <c r="F377" s="408"/>
      <c r="G377" s="408"/>
      <c r="H377" s="408"/>
      <c r="I377" s="408"/>
      <c r="J377" s="408"/>
    </row>
    <row r="378" spans="1:10" ht="13.5" customHeight="1">
      <c r="A378" s="226" t="s">
        <v>1181</v>
      </c>
      <c r="B378" s="408" t="s">
        <v>2664</v>
      </c>
      <c r="C378" s="408"/>
      <c r="D378" s="408"/>
      <c r="E378" s="408"/>
      <c r="F378" s="408"/>
      <c r="G378" s="408"/>
      <c r="H378" s="408"/>
      <c r="I378" s="408"/>
      <c r="J378" s="408"/>
    </row>
    <row r="379" spans="1:10" ht="13.5" customHeight="1">
      <c r="A379" s="226" t="s">
        <v>1183</v>
      </c>
      <c r="B379" s="408" t="s">
        <v>2665</v>
      </c>
      <c r="C379" s="408"/>
      <c r="D379" s="408"/>
      <c r="E379" s="408"/>
      <c r="F379" s="408"/>
      <c r="G379" s="408"/>
      <c r="H379" s="408"/>
      <c r="I379" s="408"/>
      <c r="J379" s="408"/>
    </row>
    <row r="380" spans="1:10" ht="13.5" customHeight="1">
      <c r="A380" s="226" t="s">
        <v>1185</v>
      </c>
      <c r="B380" s="408" t="s">
        <v>2666</v>
      </c>
      <c r="C380" s="408"/>
      <c r="D380" s="408"/>
      <c r="E380" s="408"/>
      <c r="F380" s="408"/>
      <c r="G380" s="408"/>
      <c r="H380" s="408"/>
      <c r="I380" s="408"/>
      <c r="J380" s="408"/>
    </row>
    <row r="381" spans="1:10" ht="13.5" customHeight="1">
      <c r="A381" s="226" t="s">
        <v>1187</v>
      </c>
      <c r="B381" s="408" t="s">
        <v>2667</v>
      </c>
      <c r="C381" s="408"/>
      <c r="D381" s="408"/>
      <c r="E381" s="408"/>
      <c r="F381" s="408"/>
      <c r="G381" s="408"/>
      <c r="H381" s="408"/>
      <c r="I381" s="408"/>
      <c r="J381" s="408"/>
    </row>
    <row r="382" spans="1:10" ht="13.5" customHeight="1">
      <c r="A382" s="226" t="s">
        <v>1189</v>
      </c>
      <c r="B382" s="408" t="s">
        <v>2668</v>
      </c>
      <c r="C382" s="408"/>
      <c r="D382" s="408"/>
      <c r="E382" s="408"/>
      <c r="F382" s="408"/>
      <c r="G382" s="408"/>
      <c r="H382" s="408"/>
      <c r="I382" s="408"/>
      <c r="J382" s="408"/>
    </row>
    <row r="383" spans="1:10" ht="13.5" customHeight="1">
      <c r="A383" s="226" t="s">
        <v>1191</v>
      </c>
      <c r="B383" s="408" t="s">
        <v>2669</v>
      </c>
      <c r="C383" s="408"/>
      <c r="D383" s="408"/>
      <c r="E383" s="408"/>
      <c r="F383" s="408"/>
      <c r="G383" s="408"/>
      <c r="H383" s="408"/>
      <c r="I383" s="408"/>
      <c r="J383" s="408"/>
    </row>
    <row r="384" spans="1:10" ht="13.5" customHeight="1">
      <c r="A384" s="226" t="s">
        <v>1193</v>
      </c>
      <c r="B384" s="408" t="s">
        <v>2670</v>
      </c>
      <c r="C384" s="408"/>
      <c r="D384" s="408"/>
      <c r="E384" s="408"/>
      <c r="F384" s="408"/>
      <c r="G384" s="408"/>
      <c r="H384" s="408"/>
      <c r="I384" s="408"/>
      <c r="J384" s="408"/>
    </row>
    <row r="385" spans="1:10" ht="13.5" customHeight="1">
      <c r="A385" s="226" t="s">
        <v>1195</v>
      </c>
      <c r="B385" s="408" t="s">
        <v>2671</v>
      </c>
      <c r="C385" s="408"/>
      <c r="D385" s="408"/>
      <c r="E385" s="408"/>
      <c r="F385" s="408"/>
      <c r="G385" s="408"/>
      <c r="H385" s="408"/>
      <c r="I385" s="408"/>
      <c r="J385" s="408"/>
    </row>
    <row r="386" spans="1:10" ht="13.5" customHeight="1">
      <c r="A386" s="226" t="s">
        <v>1197</v>
      </c>
      <c r="B386" s="408" t="s">
        <v>2672</v>
      </c>
      <c r="C386" s="408"/>
      <c r="D386" s="408"/>
      <c r="E386" s="408"/>
      <c r="F386" s="408"/>
      <c r="G386" s="408"/>
      <c r="H386" s="408"/>
      <c r="I386" s="408"/>
      <c r="J386" s="408"/>
    </row>
    <row r="387" spans="1:10" ht="13.5" customHeight="1">
      <c r="A387" s="226" t="s">
        <v>1199</v>
      </c>
      <c r="B387" s="408" t="s">
        <v>2673</v>
      </c>
      <c r="C387" s="408"/>
      <c r="D387" s="408"/>
      <c r="E387" s="408"/>
      <c r="F387" s="408"/>
      <c r="G387" s="408"/>
      <c r="H387" s="408"/>
      <c r="I387" s="408"/>
      <c r="J387" s="408"/>
    </row>
    <row r="388" spans="1:10" ht="13.5" customHeight="1">
      <c r="A388" s="226" t="s">
        <v>1201</v>
      </c>
      <c r="B388" s="408" t="s">
        <v>2674</v>
      </c>
      <c r="C388" s="408"/>
      <c r="D388" s="408"/>
      <c r="E388" s="408"/>
      <c r="F388" s="408"/>
      <c r="G388" s="408"/>
      <c r="H388" s="408"/>
      <c r="I388" s="408"/>
      <c r="J388" s="408"/>
    </row>
    <row r="389" spans="1:10" ht="13.5" customHeight="1">
      <c r="A389" s="226" t="s">
        <v>1203</v>
      </c>
      <c r="B389" s="408" t="s">
        <v>2675</v>
      </c>
      <c r="C389" s="408"/>
      <c r="D389" s="408"/>
      <c r="E389" s="408"/>
      <c r="F389" s="408"/>
      <c r="G389" s="408"/>
      <c r="H389" s="408"/>
      <c r="I389" s="408"/>
      <c r="J389" s="408"/>
    </row>
    <row r="390" spans="1:10" ht="13.5" customHeight="1">
      <c r="A390" s="226" t="s">
        <v>1205</v>
      </c>
      <c r="B390" s="408" t="s">
        <v>2676</v>
      </c>
      <c r="C390" s="408"/>
      <c r="D390" s="408"/>
      <c r="E390" s="408"/>
      <c r="F390" s="408"/>
      <c r="G390" s="408"/>
      <c r="H390" s="408"/>
      <c r="I390" s="408"/>
      <c r="J390" s="408"/>
    </row>
    <row r="391" spans="1:10" ht="13.5" customHeight="1">
      <c r="A391" s="226" t="s">
        <v>1207</v>
      </c>
      <c r="B391" s="408" t="s">
        <v>2677</v>
      </c>
      <c r="C391" s="408"/>
      <c r="D391" s="408"/>
      <c r="E391" s="408"/>
      <c r="F391" s="408"/>
      <c r="G391" s="408"/>
      <c r="H391" s="408"/>
      <c r="I391" s="408"/>
      <c r="J391" s="408"/>
    </row>
    <row r="392" spans="1:10" ht="13.5" customHeight="1">
      <c r="A392" s="226" t="s">
        <v>1209</v>
      </c>
      <c r="B392" s="408" t="s">
        <v>2678</v>
      </c>
      <c r="C392" s="408"/>
      <c r="D392" s="408"/>
      <c r="E392" s="408"/>
      <c r="F392" s="408"/>
      <c r="G392" s="408"/>
      <c r="H392" s="408"/>
      <c r="I392" s="408"/>
      <c r="J392" s="408"/>
    </row>
    <row r="393" spans="1:10" ht="13.5" customHeight="1">
      <c r="A393" s="226" t="s">
        <v>1211</v>
      </c>
      <c r="B393" s="408" t="s">
        <v>2679</v>
      </c>
      <c r="C393" s="408"/>
      <c r="D393" s="408"/>
      <c r="E393" s="408"/>
      <c r="F393" s="408"/>
      <c r="G393" s="408"/>
      <c r="H393" s="408"/>
      <c r="I393" s="408"/>
      <c r="J393" s="408"/>
    </row>
    <row r="394" spans="1:10" ht="13.5" customHeight="1">
      <c r="A394" s="226" t="s">
        <v>1213</v>
      </c>
      <c r="B394" s="408" t="s">
        <v>2680</v>
      </c>
      <c r="C394" s="408"/>
      <c r="D394" s="408"/>
      <c r="E394" s="408"/>
      <c r="F394" s="408"/>
      <c r="G394" s="408"/>
      <c r="H394" s="408"/>
      <c r="I394" s="408"/>
      <c r="J394" s="408"/>
    </row>
    <row r="395" spans="1:10" ht="13.5" customHeight="1">
      <c r="A395" s="226" t="s">
        <v>1215</v>
      </c>
      <c r="B395" s="408" t="s">
        <v>2681</v>
      </c>
      <c r="C395" s="408"/>
      <c r="D395" s="408"/>
      <c r="E395" s="408"/>
      <c r="F395" s="408"/>
      <c r="G395" s="408"/>
      <c r="H395" s="408"/>
      <c r="I395" s="408"/>
      <c r="J395" s="408"/>
    </row>
    <row r="396" spans="1:10" ht="13.5" customHeight="1">
      <c r="A396" s="226" t="s">
        <v>1217</v>
      </c>
      <c r="B396" s="408" t="s">
        <v>2682</v>
      </c>
      <c r="C396" s="408"/>
      <c r="D396" s="408"/>
      <c r="E396" s="408"/>
      <c r="F396" s="408"/>
      <c r="G396" s="408"/>
      <c r="H396" s="408"/>
      <c r="I396" s="408"/>
      <c r="J396" s="408"/>
    </row>
    <row r="397" spans="1:10" ht="13.5" customHeight="1">
      <c r="A397" s="226" t="s">
        <v>1219</v>
      </c>
      <c r="B397" s="408" t="s">
        <v>2683</v>
      </c>
      <c r="C397" s="408"/>
      <c r="D397" s="408"/>
      <c r="E397" s="408"/>
      <c r="F397" s="408"/>
      <c r="G397" s="408"/>
      <c r="H397" s="408"/>
      <c r="I397" s="408"/>
      <c r="J397" s="408"/>
    </row>
    <row r="398" spans="1:10" ht="13.5" customHeight="1">
      <c r="A398" s="226" t="s">
        <v>1221</v>
      </c>
      <c r="B398" s="408" t="s">
        <v>2684</v>
      </c>
      <c r="C398" s="408"/>
      <c r="D398" s="408"/>
      <c r="E398" s="408"/>
      <c r="F398" s="408"/>
      <c r="G398" s="408"/>
      <c r="H398" s="408"/>
      <c r="I398" s="408"/>
      <c r="J398" s="408"/>
    </row>
    <row r="399" spans="1:10" ht="13.5" customHeight="1">
      <c r="A399" s="226" t="s">
        <v>1223</v>
      </c>
      <c r="B399" s="408" t="s">
        <v>2685</v>
      </c>
      <c r="C399" s="408"/>
      <c r="D399" s="408"/>
      <c r="E399" s="408"/>
      <c r="F399" s="408"/>
      <c r="G399" s="408"/>
      <c r="H399" s="408"/>
      <c r="I399" s="408"/>
      <c r="J399" s="408"/>
    </row>
    <row r="400" spans="1:10" ht="25.5" customHeight="1">
      <c r="A400" s="226" t="s">
        <v>1225</v>
      </c>
      <c r="B400" s="408" t="s">
        <v>2686</v>
      </c>
      <c r="C400" s="408"/>
      <c r="D400" s="408"/>
      <c r="E400" s="408"/>
      <c r="F400" s="408"/>
      <c r="G400" s="408"/>
      <c r="H400" s="408"/>
      <c r="I400" s="408"/>
      <c r="J400" s="408"/>
    </row>
    <row r="401" spans="1:10" ht="13.5" customHeight="1">
      <c r="A401" s="226" t="s">
        <v>1227</v>
      </c>
      <c r="B401" s="408" t="s">
        <v>2687</v>
      </c>
      <c r="C401" s="408"/>
      <c r="D401" s="408"/>
      <c r="E401" s="408"/>
      <c r="F401" s="408"/>
      <c r="G401" s="408"/>
      <c r="H401" s="408"/>
      <c r="I401" s="408"/>
      <c r="J401" s="408"/>
    </row>
    <row r="402" spans="1:10" ht="13.5" customHeight="1">
      <c r="A402" s="226" t="s">
        <v>1229</v>
      </c>
      <c r="B402" s="408" t="s">
        <v>2688</v>
      </c>
      <c r="C402" s="408"/>
      <c r="D402" s="408"/>
      <c r="E402" s="408"/>
      <c r="F402" s="408"/>
      <c r="G402" s="408"/>
      <c r="H402" s="408"/>
      <c r="I402" s="408"/>
      <c r="J402" s="408"/>
    </row>
    <row r="403" spans="1:10" ht="13.5" customHeight="1">
      <c r="A403" s="226" t="s">
        <v>1231</v>
      </c>
      <c r="B403" s="408" t="s">
        <v>2689</v>
      </c>
      <c r="C403" s="408"/>
      <c r="D403" s="408"/>
      <c r="E403" s="408"/>
      <c r="F403" s="408"/>
      <c r="G403" s="408"/>
      <c r="H403" s="408"/>
      <c r="I403" s="408"/>
      <c r="J403" s="408"/>
    </row>
    <row r="404" spans="1:10" ht="13.5" customHeight="1">
      <c r="A404" s="226" t="s">
        <v>1233</v>
      </c>
      <c r="B404" s="408" t="s">
        <v>2690</v>
      </c>
      <c r="C404" s="408"/>
      <c r="D404" s="408"/>
      <c r="E404" s="408"/>
      <c r="F404" s="408"/>
      <c r="G404" s="408"/>
      <c r="H404" s="408"/>
      <c r="I404" s="408"/>
      <c r="J404" s="408"/>
    </row>
    <row r="405" spans="1:10" ht="13.5" customHeight="1">
      <c r="A405" s="226" t="s">
        <v>1235</v>
      </c>
      <c r="B405" s="408" t="s">
        <v>2691</v>
      </c>
      <c r="C405" s="408"/>
      <c r="D405" s="408"/>
      <c r="E405" s="408"/>
      <c r="F405" s="408"/>
      <c r="G405" s="408"/>
      <c r="H405" s="408"/>
      <c r="I405" s="408"/>
      <c r="J405" s="408"/>
    </row>
    <row r="406" spans="1:10" ht="13.5" customHeight="1">
      <c r="A406" s="226" t="s">
        <v>1237</v>
      </c>
      <c r="B406" s="408" t="s">
        <v>2692</v>
      </c>
      <c r="C406" s="408"/>
      <c r="D406" s="408"/>
      <c r="E406" s="408"/>
      <c r="F406" s="408"/>
      <c r="G406" s="408"/>
      <c r="H406" s="408"/>
      <c r="I406" s="408"/>
      <c r="J406" s="408"/>
    </row>
    <row r="407" spans="1:10" ht="13.5" customHeight="1">
      <c r="A407" s="226" t="s">
        <v>1239</v>
      </c>
      <c r="B407" s="408" t="s">
        <v>2693</v>
      </c>
      <c r="C407" s="408"/>
      <c r="D407" s="408"/>
      <c r="E407" s="408"/>
      <c r="F407" s="408"/>
      <c r="G407" s="408"/>
      <c r="H407" s="408"/>
      <c r="I407" s="408"/>
      <c r="J407" s="408"/>
    </row>
    <row r="408" spans="1:10" ht="13.5" customHeight="1">
      <c r="A408" s="226" t="s">
        <v>1241</v>
      </c>
      <c r="B408" s="408" t="s">
        <v>2694</v>
      </c>
      <c r="C408" s="408"/>
      <c r="D408" s="408"/>
      <c r="E408" s="408"/>
      <c r="F408" s="408"/>
      <c r="G408" s="408"/>
      <c r="H408" s="408"/>
      <c r="I408" s="408"/>
      <c r="J408" s="408"/>
    </row>
    <row r="409" spans="1:10" ht="13.5" customHeight="1">
      <c r="A409" s="226" t="s">
        <v>1243</v>
      </c>
      <c r="B409" s="408" t="s">
        <v>2695</v>
      </c>
      <c r="C409" s="408"/>
      <c r="D409" s="408"/>
      <c r="E409" s="408"/>
      <c r="F409" s="408"/>
      <c r="G409" s="408"/>
      <c r="H409" s="408"/>
      <c r="I409" s="408"/>
      <c r="J409" s="408"/>
    </row>
    <row r="410" spans="1:10" ht="13.5" customHeight="1">
      <c r="A410" s="226" t="s">
        <v>1245</v>
      </c>
      <c r="B410" s="408" t="s">
        <v>2696</v>
      </c>
      <c r="C410" s="408"/>
      <c r="D410" s="408"/>
      <c r="E410" s="408"/>
      <c r="F410" s="408"/>
      <c r="G410" s="408"/>
      <c r="H410" s="408"/>
      <c r="I410" s="408"/>
      <c r="J410" s="408"/>
    </row>
    <row r="411" spans="1:10" ht="25.5" customHeight="1">
      <c r="A411" s="226" t="s">
        <v>1247</v>
      </c>
      <c r="B411" s="408" t="s">
        <v>2697</v>
      </c>
      <c r="C411" s="408"/>
      <c r="D411" s="408"/>
      <c r="E411" s="408"/>
      <c r="F411" s="408"/>
      <c r="G411" s="408"/>
      <c r="H411" s="408"/>
      <c r="I411" s="408"/>
      <c r="J411" s="408"/>
    </row>
    <row r="412" spans="1:10" ht="13.5" customHeight="1">
      <c r="A412" s="226" t="s">
        <v>1249</v>
      </c>
      <c r="B412" s="408" t="s">
        <v>2698</v>
      </c>
      <c r="C412" s="408"/>
      <c r="D412" s="408"/>
      <c r="E412" s="408"/>
      <c r="F412" s="408"/>
      <c r="G412" s="408"/>
      <c r="H412" s="408"/>
      <c r="I412" s="408"/>
      <c r="J412" s="408"/>
    </row>
    <row r="413" spans="1:10" ht="13.5" customHeight="1">
      <c r="A413" s="226" t="s">
        <v>1251</v>
      </c>
      <c r="B413" s="408" t="s">
        <v>2699</v>
      </c>
      <c r="C413" s="408"/>
      <c r="D413" s="408"/>
      <c r="E413" s="408"/>
      <c r="F413" s="408"/>
      <c r="G413" s="408"/>
      <c r="H413" s="408"/>
      <c r="I413" s="408"/>
      <c r="J413" s="408"/>
    </row>
    <row r="414" spans="1:10" ht="13.5" customHeight="1">
      <c r="A414" s="226" t="s">
        <v>1253</v>
      </c>
      <c r="B414" s="408" t="s">
        <v>2700</v>
      </c>
      <c r="C414" s="408"/>
      <c r="D414" s="408"/>
      <c r="E414" s="408"/>
      <c r="F414" s="408"/>
      <c r="G414" s="408"/>
      <c r="H414" s="408"/>
      <c r="I414" s="408"/>
      <c r="J414" s="408"/>
    </row>
    <row r="415" spans="1:10" ht="13.5" customHeight="1">
      <c r="A415" s="226" t="s">
        <v>1255</v>
      </c>
      <c r="B415" s="408" t="s">
        <v>2701</v>
      </c>
      <c r="C415" s="408"/>
      <c r="D415" s="408"/>
      <c r="E415" s="408"/>
      <c r="F415" s="408"/>
      <c r="G415" s="408"/>
      <c r="H415" s="408"/>
      <c r="I415" s="408"/>
      <c r="J415" s="408"/>
    </row>
    <row r="416" spans="1:10" ht="13.5" customHeight="1">
      <c r="A416" s="226" t="s">
        <v>1257</v>
      </c>
      <c r="B416" s="408" t="s">
        <v>2702</v>
      </c>
      <c r="C416" s="408"/>
      <c r="D416" s="408"/>
      <c r="E416" s="408"/>
      <c r="F416" s="408"/>
      <c r="G416" s="408"/>
      <c r="H416" s="408"/>
      <c r="I416" s="408"/>
      <c r="J416" s="408"/>
    </row>
    <row r="417" spans="1:10" ht="13.5" customHeight="1">
      <c r="A417" s="226" t="s">
        <v>1259</v>
      </c>
      <c r="B417" s="408" t="s">
        <v>2703</v>
      </c>
      <c r="C417" s="408"/>
      <c r="D417" s="408"/>
      <c r="E417" s="408"/>
      <c r="F417" s="408"/>
      <c r="G417" s="408"/>
      <c r="H417" s="408"/>
      <c r="I417" s="408"/>
      <c r="J417" s="408"/>
    </row>
    <row r="418" spans="1:10" ht="13.5" customHeight="1">
      <c r="A418" s="226" t="s">
        <v>1261</v>
      </c>
      <c r="B418" s="408" t="s">
        <v>2704</v>
      </c>
      <c r="C418" s="408"/>
      <c r="D418" s="408"/>
      <c r="E418" s="408"/>
      <c r="F418" s="408"/>
      <c r="G418" s="408"/>
      <c r="H418" s="408"/>
      <c r="I418" s="408"/>
      <c r="J418" s="408"/>
    </row>
    <row r="419" spans="1:10" ht="13.5" customHeight="1">
      <c r="A419" s="226" t="s">
        <v>1263</v>
      </c>
      <c r="B419" s="408" t="s">
        <v>2705</v>
      </c>
      <c r="C419" s="408"/>
      <c r="D419" s="408"/>
      <c r="E419" s="408"/>
      <c r="F419" s="408"/>
      <c r="G419" s="408"/>
      <c r="H419" s="408"/>
      <c r="I419" s="408"/>
      <c r="J419" s="408"/>
    </row>
    <row r="420" spans="1:10" ht="13.5" customHeight="1">
      <c r="A420" s="226" t="s">
        <v>1265</v>
      </c>
      <c r="B420" s="408" t="s">
        <v>2706</v>
      </c>
      <c r="C420" s="408"/>
      <c r="D420" s="408"/>
      <c r="E420" s="408"/>
      <c r="F420" s="408"/>
      <c r="G420" s="408"/>
      <c r="H420" s="408"/>
      <c r="I420" s="408"/>
      <c r="J420" s="408"/>
    </row>
    <row r="421" spans="1:10" ht="13.5" customHeight="1">
      <c r="A421" s="226" t="s">
        <v>1267</v>
      </c>
      <c r="B421" s="408" t="s">
        <v>2707</v>
      </c>
      <c r="C421" s="408"/>
      <c r="D421" s="408"/>
      <c r="E421" s="408"/>
      <c r="F421" s="408"/>
      <c r="G421" s="408"/>
      <c r="H421" s="408"/>
      <c r="I421" s="408"/>
      <c r="J421" s="408"/>
    </row>
    <row r="422" spans="1:10" ht="13.5" customHeight="1">
      <c r="A422" s="226" t="s">
        <v>1269</v>
      </c>
      <c r="B422" s="408" t="s">
        <v>2708</v>
      </c>
      <c r="C422" s="408"/>
      <c r="D422" s="408"/>
      <c r="E422" s="408"/>
      <c r="F422" s="408"/>
      <c r="G422" s="408"/>
      <c r="H422" s="408"/>
      <c r="I422" s="408"/>
      <c r="J422" s="408"/>
    </row>
    <row r="423" spans="1:10" ht="13.5" customHeight="1">
      <c r="A423" s="226" t="s">
        <v>1271</v>
      </c>
      <c r="B423" s="408" t="s">
        <v>2709</v>
      </c>
      <c r="C423" s="408"/>
      <c r="D423" s="408"/>
      <c r="E423" s="408"/>
      <c r="F423" s="408"/>
      <c r="G423" s="408"/>
      <c r="H423" s="408"/>
      <c r="I423" s="408"/>
      <c r="J423" s="408"/>
    </row>
    <row r="424" spans="1:10" ht="13.5" customHeight="1">
      <c r="A424" s="226" t="s">
        <v>1273</v>
      </c>
      <c r="B424" s="408" t="s">
        <v>2710</v>
      </c>
      <c r="C424" s="408"/>
      <c r="D424" s="408"/>
      <c r="E424" s="408"/>
      <c r="F424" s="408"/>
      <c r="G424" s="408"/>
      <c r="H424" s="408"/>
      <c r="I424" s="408"/>
      <c r="J424" s="408"/>
    </row>
    <row r="425" spans="1:10" ht="13.5" customHeight="1">
      <c r="A425" s="226" t="s">
        <v>1275</v>
      </c>
      <c r="B425" s="408" t="s">
        <v>2711</v>
      </c>
      <c r="C425" s="408"/>
      <c r="D425" s="408"/>
      <c r="E425" s="408"/>
      <c r="F425" s="408"/>
      <c r="G425" s="408"/>
      <c r="H425" s="408"/>
      <c r="I425" s="408"/>
      <c r="J425" s="408"/>
    </row>
    <row r="426" spans="1:10" ht="13.5" customHeight="1">
      <c r="A426" s="226" t="s">
        <v>1277</v>
      </c>
      <c r="B426" s="408" t="s">
        <v>2712</v>
      </c>
      <c r="C426" s="408"/>
      <c r="D426" s="408"/>
      <c r="E426" s="408"/>
      <c r="F426" s="408"/>
      <c r="G426" s="408"/>
      <c r="H426" s="408"/>
      <c r="I426" s="408"/>
      <c r="J426" s="408"/>
    </row>
    <row r="427" spans="1:10" ht="13.5" customHeight="1">
      <c r="A427" s="226" t="s">
        <v>1279</v>
      </c>
      <c r="B427" s="408" t="s">
        <v>2713</v>
      </c>
      <c r="C427" s="408"/>
      <c r="D427" s="408"/>
      <c r="E427" s="408"/>
      <c r="F427" s="408"/>
      <c r="G427" s="408"/>
      <c r="H427" s="408"/>
      <c r="I427" s="408"/>
      <c r="J427" s="408"/>
    </row>
    <row r="428" spans="1:10" ht="13.5" customHeight="1">
      <c r="A428" s="226" t="s">
        <v>1281</v>
      </c>
      <c r="B428" s="408" t="s">
        <v>2714</v>
      </c>
      <c r="C428" s="408"/>
      <c r="D428" s="408"/>
      <c r="E428" s="408"/>
      <c r="F428" s="408"/>
      <c r="G428" s="408"/>
      <c r="H428" s="408"/>
      <c r="I428" s="408"/>
      <c r="J428" s="408"/>
    </row>
    <row r="429" spans="1:10" ht="13.5" customHeight="1">
      <c r="A429" s="226" t="s">
        <v>1283</v>
      </c>
      <c r="B429" s="408" t="s">
        <v>2715</v>
      </c>
      <c r="C429" s="408"/>
      <c r="D429" s="408"/>
      <c r="E429" s="408"/>
      <c r="F429" s="408"/>
      <c r="G429" s="408"/>
      <c r="H429" s="408"/>
      <c r="I429" s="408"/>
      <c r="J429" s="408"/>
    </row>
    <row r="430" spans="1:10" ht="13.5" customHeight="1">
      <c r="A430" s="226" t="s">
        <v>1285</v>
      </c>
      <c r="B430" s="408" t="s">
        <v>2716</v>
      </c>
      <c r="C430" s="408"/>
      <c r="D430" s="408"/>
      <c r="E430" s="408"/>
      <c r="F430" s="408"/>
      <c r="G430" s="408"/>
      <c r="H430" s="408"/>
      <c r="I430" s="408"/>
      <c r="J430" s="408"/>
    </row>
    <row r="431" spans="1:10" ht="13.5" customHeight="1">
      <c r="A431" s="226" t="s">
        <v>1287</v>
      </c>
      <c r="B431" s="408" t="s">
        <v>2717</v>
      </c>
      <c r="C431" s="408"/>
      <c r="D431" s="408"/>
      <c r="E431" s="408"/>
      <c r="F431" s="408"/>
      <c r="G431" s="408"/>
      <c r="H431" s="408"/>
      <c r="I431" s="408"/>
      <c r="J431" s="408"/>
    </row>
    <row r="432" spans="1:10" ht="13.5" customHeight="1">
      <c r="A432" s="226" t="s">
        <v>1289</v>
      </c>
      <c r="B432" s="408" t="s">
        <v>2718</v>
      </c>
      <c r="C432" s="408"/>
      <c r="D432" s="408"/>
      <c r="E432" s="408"/>
      <c r="F432" s="408"/>
      <c r="G432" s="408"/>
      <c r="H432" s="408"/>
      <c r="I432" s="408"/>
      <c r="J432" s="408"/>
    </row>
    <row r="433" spans="1:10" ht="13.5" customHeight="1">
      <c r="A433" s="226" t="s">
        <v>1291</v>
      </c>
      <c r="B433" s="408" t="s">
        <v>2719</v>
      </c>
      <c r="C433" s="408"/>
      <c r="D433" s="408"/>
      <c r="E433" s="408"/>
      <c r="F433" s="408"/>
      <c r="G433" s="408"/>
      <c r="H433" s="408"/>
      <c r="I433" s="408"/>
      <c r="J433" s="408"/>
    </row>
    <row r="434" spans="1:10" ht="13.5" customHeight="1">
      <c r="A434" s="226" t="s">
        <v>1293</v>
      </c>
      <c r="B434" s="408" t="s">
        <v>2720</v>
      </c>
      <c r="C434" s="408"/>
      <c r="D434" s="408"/>
      <c r="E434" s="408"/>
      <c r="F434" s="408"/>
      <c r="G434" s="408"/>
      <c r="H434" s="408"/>
      <c r="I434" s="408"/>
      <c r="J434" s="408"/>
    </row>
    <row r="435" spans="1:10" ht="13.5" customHeight="1">
      <c r="A435" s="226" t="s">
        <v>1295</v>
      </c>
      <c r="B435" s="408" t="s">
        <v>2721</v>
      </c>
      <c r="C435" s="408"/>
      <c r="D435" s="408"/>
      <c r="E435" s="408"/>
      <c r="F435" s="408"/>
      <c r="G435" s="408"/>
      <c r="H435" s="408"/>
      <c r="I435" s="408"/>
      <c r="J435" s="408"/>
    </row>
    <row r="436" spans="1:10" ht="13.5" customHeight="1">
      <c r="A436" s="226" t="s">
        <v>1297</v>
      </c>
      <c r="B436" s="408" t="s">
        <v>2722</v>
      </c>
      <c r="C436" s="408"/>
      <c r="D436" s="408"/>
      <c r="E436" s="408"/>
      <c r="F436" s="408"/>
      <c r="G436" s="408"/>
      <c r="H436" s="408"/>
      <c r="I436" s="408"/>
      <c r="J436" s="408"/>
    </row>
    <row r="437" spans="1:10" ht="13.5" customHeight="1">
      <c r="A437" s="226" t="s">
        <v>1299</v>
      </c>
      <c r="B437" s="408" t="s">
        <v>2723</v>
      </c>
      <c r="C437" s="408"/>
      <c r="D437" s="408"/>
      <c r="E437" s="408"/>
      <c r="F437" s="408"/>
      <c r="G437" s="408"/>
      <c r="H437" s="408"/>
      <c r="I437" s="408"/>
      <c r="J437" s="408"/>
    </row>
    <row r="438" spans="1:10" ht="13.5" customHeight="1">
      <c r="A438" s="226" t="s">
        <v>1301</v>
      </c>
      <c r="B438" s="408" t="s">
        <v>2724</v>
      </c>
      <c r="C438" s="408"/>
      <c r="D438" s="408"/>
      <c r="E438" s="408"/>
      <c r="F438" s="408"/>
      <c r="G438" s="408"/>
      <c r="H438" s="408"/>
      <c r="I438" s="408"/>
      <c r="J438" s="408"/>
    </row>
    <row r="439" spans="1:10" ht="13.5" customHeight="1">
      <c r="A439" s="226" t="s">
        <v>1303</v>
      </c>
      <c r="B439" s="408" t="s">
        <v>2725</v>
      </c>
      <c r="C439" s="408"/>
      <c r="D439" s="408"/>
      <c r="E439" s="408"/>
      <c r="F439" s="408"/>
      <c r="G439" s="408"/>
      <c r="H439" s="408"/>
      <c r="I439" s="408"/>
      <c r="J439" s="408"/>
    </row>
    <row r="440" spans="1:10" ht="13.5" customHeight="1">
      <c r="A440" s="226" t="s">
        <v>1305</v>
      </c>
      <c r="B440" s="408" t="s">
        <v>2726</v>
      </c>
      <c r="C440" s="408"/>
      <c r="D440" s="408"/>
      <c r="E440" s="408"/>
      <c r="F440" s="408"/>
      <c r="G440" s="408"/>
      <c r="H440" s="408"/>
      <c r="I440" s="408"/>
      <c r="J440" s="408"/>
    </row>
    <row r="441" spans="1:10" ht="13.5" customHeight="1">
      <c r="A441" s="226" t="s">
        <v>1307</v>
      </c>
      <c r="B441" s="408" t="s">
        <v>2727</v>
      </c>
      <c r="C441" s="408"/>
      <c r="D441" s="408"/>
      <c r="E441" s="408"/>
      <c r="F441" s="408"/>
      <c r="G441" s="408"/>
      <c r="H441" s="408"/>
      <c r="I441" s="408"/>
      <c r="J441" s="408"/>
    </row>
    <row r="442" spans="1:10" ht="13.5" customHeight="1">
      <c r="A442" s="226" t="s">
        <v>1309</v>
      </c>
      <c r="B442" s="408" t="s">
        <v>2728</v>
      </c>
      <c r="C442" s="408"/>
      <c r="D442" s="408"/>
      <c r="E442" s="408"/>
      <c r="F442" s="408"/>
      <c r="G442" s="408"/>
      <c r="H442" s="408"/>
      <c r="I442" s="408"/>
      <c r="J442" s="408"/>
    </row>
    <row r="443" spans="1:10" ht="13.5" customHeight="1">
      <c r="A443" s="226" t="s">
        <v>1311</v>
      </c>
      <c r="B443" s="408" t="s">
        <v>2729</v>
      </c>
      <c r="C443" s="408"/>
      <c r="D443" s="408"/>
      <c r="E443" s="408"/>
      <c r="F443" s="408"/>
      <c r="G443" s="408"/>
      <c r="H443" s="408"/>
      <c r="I443" s="408"/>
      <c r="J443" s="408"/>
    </row>
    <row r="444" spans="1:10" ht="13.5" customHeight="1">
      <c r="A444" s="226" t="s">
        <v>1313</v>
      </c>
      <c r="B444" s="408" t="s">
        <v>2730</v>
      </c>
      <c r="C444" s="408"/>
      <c r="D444" s="408"/>
      <c r="E444" s="408"/>
      <c r="F444" s="408"/>
      <c r="G444" s="408"/>
      <c r="H444" s="408"/>
      <c r="I444" s="408"/>
      <c r="J444" s="408"/>
    </row>
    <row r="445" spans="1:10" ht="13.5" customHeight="1">
      <c r="A445" s="226" t="s">
        <v>1315</v>
      </c>
      <c r="B445" s="408" t="s">
        <v>2731</v>
      </c>
      <c r="C445" s="408"/>
      <c r="D445" s="408"/>
      <c r="E445" s="408"/>
      <c r="F445" s="408"/>
      <c r="G445" s="408"/>
      <c r="H445" s="408"/>
      <c r="I445" s="408"/>
      <c r="J445" s="408"/>
    </row>
    <row r="446" spans="1:10" ht="13.5" customHeight="1">
      <c r="A446" s="226" t="s">
        <v>1317</v>
      </c>
      <c r="B446" s="408" t="s">
        <v>2732</v>
      </c>
      <c r="C446" s="408"/>
      <c r="D446" s="408"/>
      <c r="E446" s="408"/>
      <c r="F446" s="408"/>
      <c r="G446" s="408"/>
      <c r="H446" s="408"/>
      <c r="I446" s="408"/>
      <c r="J446" s="408"/>
    </row>
    <row r="447" spans="1:10" ht="13.5" customHeight="1">
      <c r="A447" s="226" t="s">
        <v>1319</v>
      </c>
      <c r="B447" s="408" t="s">
        <v>2733</v>
      </c>
      <c r="C447" s="408"/>
      <c r="D447" s="408"/>
      <c r="E447" s="408"/>
      <c r="F447" s="408"/>
      <c r="G447" s="408"/>
      <c r="H447" s="408"/>
      <c r="I447" s="408"/>
      <c r="J447" s="408"/>
    </row>
    <row r="448" spans="1:10" ht="13.5" customHeight="1">
      <c r="A448" s="226" t="s">
        <v>1321</v>
      </c>
      <c r="B448" s="408" t="s">
        <v>2734</v>
      </c>
      <c r="C448" s="408"/>
      <c r="D448" s="408"/>
      <c r="E448" s="408"/>
      <c r="F448" s="408"/>
      <c r="G448" s="408"/>
      <c r="H448" s="408"/>
      <c r="I448" s="408"/>
      <c r="J448" s="408"/>
    </row>
    <row r="449" spans="1:10" ht="13.5" customHeight="1">
      <c r="A449" s="226" t="s">
        <v>1323</v>
      </c>
      <c r="B449" s="408" t="s">
        <v>2735</v>
      </c>
      <c r="C449" s="408"/>
      <c r="D449" s="408"/>
      <c r="E449" s="408"/>
      <c r="F449" s="408"/>
      <c r="G449" s="408"/>
      <c r="H449" s="408"/>
      <c r="I449" s="408"/>
      <c r="J449" s="408"/>
    </row>
    <row r="450" spans="1:10" ht="13.5" customHeight="1">
      <c r="A450" s="226" t="s">
        <v>1325</v>
      </c>
      <c r="B450" s="408" t="s">
        <v>2736</v>
      </c>
      <c r="C450" s="408"/>
      <c r="D450" s="408"/>
      <c r="E450" s="408"/>
      <c r="F450" s="408"/>
      <c r="G450" s="408"/>
      <c r="H450" s="408"/>
      <c r="I450" s="408"/>
      <c r="J450" s="408"/>
    </row>
    <row r="451" spans="1:10" ht="13.5" customHeight="1">
      <c r="A451" s="226" t="s">
        <v>1327</v>
      </c>
      <c r="B451" s="408" t="s">
        <v>2737</v>
      </c>
      <c r="C451" s="408"/>
      <c r="D451" s="408"/>
      <c r="E451" s="408"/>
      <c r="F451" s="408"/>
      <c r="G451" s="408"/>
      <c r="H451" s="408"/>
      <c r="I451" s="408"/>
      <c r="J451" s="408"/>
    </row>
    <row r="452" spans="1:10" ht="13.5" customHeight="1">
      <c r="A452" s="226" t="s">
        <v>1329</v>
      </c>
      <c r="B452" s="408" t="s">
        <v>2738</v>
      </c>
      <c r="C452" s="408"/>
      <c r="D452" s="408"/>
      <c r="E452" s="408"/>
      <c r="F452" s="408"/>
      <c r="G452" s="408"/>
      <c r="H452" s="408"/>
      <c r="I452" s="408"/>
      <c r="J452" s="408"/>
    </row>
    <row r="453" spans="1:10" ht="13.5" customHeight="1">
      <c r="A453" s="226" t="s">
        <v>1331</v>
      </c>
      <c r="B453" s="408" t="s">
        <v>2739</v>
      </c>
      <c r="C453" s="408"/>
      <c r="D453" s="408"/>
      <c r="E453" s="408"/>
      <c r="F453" s="408"/>
      <c r="G453" s="408"/>
      <c r="H453" s="408"/>
      <c r="I453" s="408"/>
      <c r="J453" s="408"/>
    </row>
    <row r="454" spans="1:10" ht="13.5" customHeight="1">
      <c r="A454" s="226" t="s">
        <v>1333</v>
      </c>
      <c r="B454" s="408" t="s">
        <v>2740</v>
      </c>
      <c r="C454" s="408"/>
      <c r="D454" s="408"/>
      <c r="E454" s="408"/>
      <c r="F454" s="408"/>
      <c r="G454" s="408"/>
      <c r="H454" s="408"/>
      <c r="I454" s="408"/>
      <c r="J454" s="408"/>
    </row>
    <row r="455" spans="1:10" ht="13.5" customHeight="1">
      <c r="A455" s="226" t="s">
        <v>1335</v>
      </c>
      <c r="B455" s="408" t="s">
        <v>2741</v>
      </c>
      <c r="C455" s="408"/>
      <c r="D455" s="408"/>
      <c r="E455" s="408"/>
      <c r="F455" s="408"/>
      <c r="G455" s="408"/>
      <c r="H455" s="408"/>
      <c r="I455" s="408"/>
      <c r="J455" s="408"/>
    </row>
    <row r="456" spans="1:10" ht="13.5" customHeight="1">
      <c r="A456" s="226" t="s">
        <v>1337</v>
      </c>
      <c r="B456" s="408" t="s">
        <v>2742</v>
      </c>
      <c r="C456" s="408"/>
      <c r="D456" s="408"/>
      <c r="E456" s="408"/>
      <c r="F456" s="408"/>
      <c r="G456" s="408"/>
      <c r="H456" s="408"/>
      <c r="I456" s="408"/>
      <c r="J456" s="408"/>
    </row>
    <row r="457" spans="1:10" ht="13.5" customHeight="1">
      <c r="A457" s="226" t="s">
        <v>1339</v>
      </c>
      <c r="B457" s="408" t="s">
        <v>2743</v>
      </c>
      <c r="C457" s="408"/>
      <c r="D457" s="408"/>
      <c r="E457" s="408"/>
      <c r="F457" s="408"/>
      <c r="G457" s="408"/>
      <c r="H457" s="408"/>
      <c r="I457" s="408"/>
      <c r="J457" s="408"/>
    </row>
    <row r="458" spans="1:10" ht="13.5" customHeight="1">
      <c r="A458" s="226" t="s">
        <v>1341</v>
      </c>
      <c r="B458" s="408" t="s">
        <v>2744</v>
      </c>
      <c r="C458" s="408"/>
      <c r="D458" s="408"/>
      <c r="E458" s="408"/>
      <c r="F458" s="408"/>
      <c r="G458" s="408"/>
      <c r="H458" s="408"/>
      <c r="I458" s="408"/>
      <c r="J458" s="408"/>
    </row>
    <row r="459" spans="1:10" ht="13.5" customHeight="1">
      <c r="A459" s="226" t="s">
        <v>1343</v>
      </c>
      <c r="B459" s="408" t="s">
        <v>2745</v>
      </c>
      <c r="C459" s="408"/>
      <c r="D459" s="408"/>
      <c r="E459" s="408"/>
      <c r="F459" s="408"/>
      <c r="G459" s="408"/>
      <c r="H459" s="408"/>
      <c r="I459" s="408"/>
      <c r="J459" s="408"/>
    </row>
    <row r="460" spans="1:10" ht="13.5" customHeight="1">
      <c r="A460" s="226" t="s">
        <v>1345</v>
      </c>
      <c r="B460" s="408" t="s">
        <v>2746</v>
      </c>
      <c r="C460" s="408"/>
      <c r="D460" s="408"/>
      <c r="E460" s="408"/>
      <c r="F460" s="408"/>
      <c r="G460" s="408"/>
      <c r="H460" s="408"/>
      <c r="I460" s="408"/>
      <c r="J460" s="408"/>
    </row>
    <row r="461" spans="1:10" ht="13.5" customHeight="1">
      <c r="A461" s="226" t="s">
        <v>1347</v>
      </c>
      <c r="B461" s="408" t="s">
        <v>2747</v>
      </c>
      <c r="C461" s="408"/>
      <c r="D461" s="408"/>
      <c r="E461" s="408"/>
      <c r="F461" s="408"/>
      <c r="G461" s="408"/>
      <c r="H461" s="408"/>
      <c r="I461" s="408"/>
      <c r="J461" s="408"/>
    </row>
    <row r="462" spans="1:10" ht="13.5" customHeight="1">
      <c r="A462" s="226" t="s">
        <v>1349</v>
      </c>
      <c r="B462" s="408" t="s">
        <v>2748</v>
      </c>
      <c r="C462" s="408"/>
      <c r="D462" s="408"/>
      <c r="E462" s="408"/>
      <c r="F462" s="408"/>
      <c r="G462" s="408"/>
      <c r="H462" s="408"/>
      <c r="I462" s="408"/>
      <c r="J462" s="408"/>
    </row>
    <row r="463" spans="1:10" ht="13.5" customHeight="1">
      <c r="A463" s="226" t="s">
        <v>1351</v>
      </c>
      <c r="B463" s="408" t="s">
        <v>2749</v>
      </c>
      <c r="C463" s="408"/>
      <c r="D463" s="408"/>
      <c r="E463" s="408"/>
      <c r="F463" s="408"/>
      <c r="G463" s="408"/>
      <c r="H463" s="408"/>
      <c r="I463" s="408"/>
      <c r="J463" s="408"/>
    </row>
    <row r="464" spans="1:10" ht="13.5" customHeight="1">
      <c r="A464" s="226" t="s">
        <v>1353</v>
      </c>
      <c r="B464" s="408" t="s">
        <v>2750</v>
      </c>
      <c r="C464" s="408"/>
      <c r="D464" s="408"/>
      <c r="E464" s="408"/>
      <c r="F464" s="408"/>
      <c r="G464" s="408"/>
      <c r="H464" s="408"/>
      <c r="I464" s="408"/>
      <c r="J464" s="408"/>
    </row>
    <row r="465" spans="1:10" ht="13.5" customHeight="1">
      <c r="A465" s="226" t="s">
        <v>1355</v>
      </c>
      <c r="B465" s="408" t="s">
        <v>2751</v>
      </c>
      <c r="C465" s="408"/>
      <c r="D465" s="408"/>
      <c r="E465" s="408"/>
      <c r="F465" s="408"/>
      <c r="G465" s="408"/>
      <c r="H465" s="408"/>
      <c r="I465" s="408"/>
      <c r="J465" s="408"/>
    </row>
    <row r="466" spans="1:10" ht="13.5" customHeight="1">
      <c r="A466" s="226" t="s">
        <v>1357</v>
      </c>
      <c r="B466" s="408" t="s">
        <v>2752</v>
      </c>
      <c r="C466" s="408"/>
      <c r="D466" s="408"/>
      <c r="E466" s="408"/>
      <c r="F466" s="408"/>
      <c r="G466" s="408"/>
      <c r="H466" s="408"/>
      <c r="I466" s="408"/>
      <c r="J466" s="408"/>
    </row>
    <row r="467" spans="1:10" ht="13.5" customHeight="1">
      <c r="A467" s="226" t="s">
        <v>1359</v>
      </c>
      <c r="B467" s="408" t="s">
        <v>2753</v>
      </c>
      <c r="C467" s="408"/>
      <c r="D467" s="408"/>
      <c r="E467" s="408"/>
      <c r="F467" s="408"/>
      <c r="G467" s="408"/>
      <c r="H467" s="408"/>
      <c r="I467" s="408"/>
      <c r="J467" s="408"/>
    </row>
    <row r="468" spans="1:10" ht="13.5" customHeight="1">
      <c r="A468" s="226" t="s">
        <v>1361</v>
      </c>
      <c r="B468" s="408" t="s">
        <v>2754</v>
      </c>
      <c r="C468" s="408"/>
      <c r="D468" s="408"/>
      <c r="E468" s="408"/>
      <c r="F468" s="408"/>
      <c r="G468" s="408"/>
      <c r="H468" s="408"/>
      <c r="I468" s="408"/>
      <c r="J468" s="408"/>
    </row>
    <row r="469" spans="1:10" ht="13.5" customHeight="1">
      <c r="A469" s="226" t="s">
        <v>1363</v>
      </c>
      <c r="B469" s="408" t="s">
        <v>2755</v>
      </c>
      <c r="C469" s="408"/>
      <c r="D469" s="408"/>
      <c r="E469" s="408"/>
      <c r="F469" s="408"/>
      <c r="G469" s="408"/>
      <c r="H469" s="408"/>
      <c r="I469" s="408"/>
      <c r="J469" s="408"/>
    </row>
    <row r="470" spans="1:10" ht="13.5" customHeight="1">
      <c r="A470" s="226" t="s">
        <v>1365</v>
      </c>
      <c r="B470" s="408" t="s">
        <v>2756</v>
      </c>
      <c r="C470" s="408"/>
      <c r="D470" s="408"/>
      <c r="E470" s="408"/>
      <c r="F470" s="408"/>
      <c r="G470" s="408"/>
      <c r="H470" s="408"/>
      <c r="I470" s="408"/>
      <c r="J470" s="408"/>
    </row>
    <row r="471" spans="1:10" ht="13.5" customHeight="1">
      <c r="A471" s="226" t="s">
        <v>1367</v>
      </c>
      <c r="B471" s="408" t="s">
        <v>2757</v>
      </c>
      <c r="C471" s="408"/>
      <c r="D471" s="408"/>
      <c r="E471" s="408"/>
      <c r="F471" s="408"/>
      <c r="G471" s="408"/>
      <c r="H471" s="408"/>
      <c r="I471" s="408"/>
      <c r="J471" s="408"/>
    </row>
    <row r="472" spans="1:10" ht="13.5" customHeight="1">
      <c r="A472" s="226" t="s">
        <v>1369</v>
      </c>
      <c r="B472" s="408" t="s">
        <v>2758</v>
      </c>
      <c r="C472" s="408"/>
      <c r="D472" s="408"/>
      <c r="E472" s="408"/>
      <c r="F472" s="408"/>
      <c r="G472" s="408"/>
      <c r="H472" s="408"/>
      <c r="I472" s="408"/>
      <c r="J472" s="408"/>
    </row>
    <row r="473" spans="1:10" ht="13.5" customHeight="1">
      <c r="A473" s="226" t="s">
        <v>1371</v>
      </c>
      <c r="B473" s="408" t="s">
        <v>2759</v>
      </c>
      <c r="C473" s="408"/>
      <c r="D473" s="408"/>
      <c r="E473" s="408"/>
      <c r="F473" s="408"/>
      <c r="G473" s="408"/>
      <c r="H473" s="408"/>
      <c r="I473" s="408"/>
      <c r="J473" s="408"/>
    </row>
    <row r="474" spans="1:10" ht="13.5" customHeight="1">
      <c r="A474" s="226" t="s">
        <v>1373</v>
      </c>
      <c r="B474" s="408" t="s">
        <v>2760</v>
      </c>
      <c r="C474" s="408"/>
      <c r="D474" s="408"/>
      <c r="E474" s="408"/>
      <c r="F474" s="408"/>
      <c r="G474" s="408"/>
      <c r="H474" s="408"/>
      <c r="I474" s="408"/>
      <c r="J474" s="408"/>
    </row>
    <row r="475" spans="1:10" ht="13.5" customHeight="1">
      <c r="A475" s="226" t="s">
        <v>1375</v>
      </c>
      <c r="B475" s="408" t="s">
        <v>2761</v>
      </c>
      <c r="C475" s="408"/>
      <c r="D475" s="408"/>
      <c r="E475" s="408"/>
      <c r="F475" s="408"/>
      <c r="G475" s="408"/>
      <c r="H475" s="408"/>
      <c r="I475" s="408"/>
      <c r="J475" s="408"/>
    </row>
    <row r="476" spans="1:10" ht="13.5" customHeight="1">
      <c r="A476" s="226" t="s">
        <v>1376</v>
      </c>
      <c r="B476" s="408" t="s">
        <v>2762</v>
      </c>
      <c r="C476" s="408"/>
      <c r="D476" s="408"/>
      <c r="E476" s="408"/>
      <c r="F476" s="408"/>
      <c r="G476" s="408"/>
      <c r="H476" s="408"/>
      <c r="I476" s="408"/>
      <c r="J476" s="408"/>
    </row>
    <row r="477" spans="1:10" ht="13.5" customHeight="1">
      <c r="A477" s="226" t="s">
        <v>1378</v>
      </c>
      <c r="B477" s="408" t="s">
        <v>2763</v>
      </c>
      <c r="C477" s="408"/>
      <c r="D477" s="408"/>
      <c r="E477" s="408"/>
      <c r="F477" s="408"/>
      <c r="G477" s="408"/>
      <c r="H477" s="408"/>
      <c r="I477" s="408"/>
      <c r="J477" s="408"/>
    </row>
    <row r="478" spans="1:10" ht="13.5" customHeight="1">
      <c r="A478" s="226" t="s">
        <v>1380</v>
      </c>
      <c r="B478" s="408" t="s">
        <v>2764</v>
      </c>
      <c r="C478" s="408"/>
      <c r="D478" s="408"/>
      <c r="E478" s="408"/>
      <c r="F478" s="408"/>
      <c r="G478" s="408"/>
      <c r="H478" s="408"/>
      <c r="I478" s="408"/>
      <c r="J478" s="408"/>
    </row>
    <row r="479" spans="1:10" ht="13.5" customHeight="1">
      <c r="A479" s="226" t="s">
        <v>1382</v>
      </c>
      <c r="B479" s="408" t="s">
        <v>2765</v>
      </c>
      <c r="C479" s="408"/>
      <c r="D479" s="408"/>
      <c r="E479" s="408"/>
      <c r="F479" s="408"/>
      <c r="G479" s="408"/>
      <c r="H479" s="408"/>
      <c r="I479" s="408"/>
      <c r="J479" s="408"/>
    </row>
    <row r="480" spans="1:10" ht="13.5" customHeight="1">
      <c r="A480" s="226" t="s">
        <v>1384</v>
      </c>
      <c r="B480" s="408" t="s">
        <v>2766</v>
      </c>
      <c r="C480" s="408"/>
      <c r="D480" s="408"/>
      <c r="E480" s="408"/>
      <c r="F480" s="408"/>
      <c r="G480" s="408"/>
      <c r="H480" s="408"/>
      <c r="I480" s="408"/>
      <c r="J480" s="408"/>
    </row>
    <row r="481" spans="1:10" ht="13.5" customHeight="1">
      <c r="A481" s="226" t="s">
        <v>1386</v>
      </c>
      <c r="B481" s="408" t="s">
        <v>2767</v>
      </c>
      <c r="C481" s="408"/>
      <c r="D481" s="408"/>
      <c r="E481" s="408"/>
      <c r="F481" s="408"/>
      <c r="G481" s="408"/>
      <c r="H481" s="408"/>
      <c r="I481" s="408"/>
      <c r="J481" s="408"/>
    </row>
    <row r="482" spans="1:10" ht="13.5" customHeight="1">
      <c r="A482" s="226" t="s">
        <v>1388</v>
      </c>
      <c r="B482" s="408" t="s">
        <v>2768</v>
      </c>
      <c r="C482" s="408"/>
      <c r="D482" s="408"/>
      <c r="E482" s="408"/>
      <c r="F482" s="408"/>
      <c r="G482" s="408"/>
      <c r="H482" s="408"/>
      <c r="I482" s="408"/>
      <c r="J482" s="408"/>
    </row>
    <row r="483" spans="1:10" ht="13.5" customHeight="1">
      <c r="A483" s="226" t="s">
        <v>1390</v>
      </c>
      <c r="B483" s="408" t="s">
        <v>2769</v>
      </c>
      <c r="C483" s="408"/>
      <c r="D483" s="408"/>
      <c r="E483" s="408"/>
      <c r="F483" s="408"/>
      <c r="G483" s="408"/>
      <c r="H483" s="408"/>
      <c r="I483" s="408"/>
      <c r="J483" s="408"/>
    </row>
    <row r="484" spans="1:10" ht="13.5" customHeight="1">
      <c r="A484" s="226" t="s">
        <v>1392</v>
      </c>
      <c r="B484" s="408" t="s">
        <v>2770</v>
      </c>
      <c r="C484" s="408"/>
      <c r="D484" s="408"/>
      <c r="E484" s="408"/>
      <c r="F484" s="408"/>
      <c r="G484" s="408"/>
      <c r="H484" s="408"/>
      <c r="I484" s="408"/>
      <c r="J484" s="408"/>
    </row>
    <row r="485" spans="1:10" ht="13.5" customHeight="1">
      <c r="A485" s="226" t="s">
        <v>1394</v>
      </c>
      <c r="B485" s="408" t="s">
        <v>2771</v>
      </c>
      <c r="C485" s="408"/>
      <c r="D485" s="408"/>
      <c r="E485" s="408"/>
      <c r="F485" s="408"/>
      <c r="G485" s="408"/>
      <c r="H485" s="408"/>
      <c r="I485" s="408"/>
      <c r="J485" s="408"/>
    </row>
    <row r="486" spans="1:10" ht="13.5" customHeight="1">
      <c r="A486" s="226" t="s">
        <v>1396</v>
      </c>
      <c r="B486" s="408" t="s">
        <v>2772</v>
      </c>
      <c r="C486" s="408"/>
      <c r="D486" s="408"/>
      <c r="E486" s="408"/>
      <c r="F486" s="408"/>
      <c r="G486" s="408"/>
      <c r="H486" s="408"/>
      <c r="I486" s="408"/>
      <c r="J486" s="408"/>
    </row>
    <row r="487" spans="1:10" ht="13.5" customHeight="1">
      <c r="A487" s="226" t="s">
        <v>1398</v>
      </c>
      <c r="B487" s="408" t="s">
        <v>2773</v>
      </c>
      <c r="C487" s="408"/>
      <c r="D487" s="408"/>
      <c r="E487" s="408"/>
      <c r="F487" s="408"/>
      <c r="G487" s="408"/>
      <c r="H487" s="408"/>
      <c r="I487" s="408"/>
      <c r="J487" s="408"/>
    </row>
    <row r="488" spans="1:10" ht="13.5" customHeight="1">
      <c r="A488" s="226" t="s">
        <v>1400</v>
      </c>
      <c r="B488" s="408" t="s">
        <v>2774</v>
      </c>
      <c r="C488" s="408"/>
      <c r="D488" s="408"/>
      <c r="E488" s="408"/>
      <c r="F488" s="408"/>
      <c r="G488" s="408"/>
      <c r="H488" s="408"/>
      <c r="I488" s="408"/>
      <c r="J488" s="408"/>
    </row>
    <row r="489" spans="1:10" ht="13.5" customHeight="1">
      <c r="A489" s="226" t="s">
        <v>1402</v>
      </c>
      <c r="B489" s="408" t="s">
        <v>2775</v>
      </c>
      <c r="C489" s="408"/>
      <c r="D489" s="408"/>
      <c r="E489" s="408"/>
      <c r="F489" s="408"/>
      <c r="G489" s="408"/>
      <c r="H489" s="408"/>
      <c r="I489" s="408"/>
      <c r="J489" s="408"/>
    </row>
    <row r="490" spans="1:10" ht="13.5" customHeight="1">
      <c r="A490" s="226" t="s">
        <v>1404</v>
      </c>
      <c r="B490" s="408" t="s">
        <v>2776</v>
      </c>
      <c r="C490" s="408"/>
      <c r="D490" s="408"/>
      <c r="E490" s="408"/>
      <c r="F490" s="408"/>
      <c r="G490" s="408"/>
      <c r="H490" s="408"/>
      <c r="I490" s="408"/>
      <c r="J490" s="408"/>
    </row>
    <row r="491" spans="1:10" ht="13.5" customHeight="1">
      <c r="A491" s="226" t="s">
        <v>1406</v>
      </c>
      <c r="B491" s="408" t="s">
        <v>2777</v>
      </c>
      <c r="C491" s="408"/>
      <c r="D491" s="408"/>
      <c r="E491" s="408"/>
      <c r="F491" s="408"/>
      <c r="G491" s="408"/>
      <c r="H491" s="408"/>
      <c r="I491" s="408"/>
      <c r="J491" s="408"/>
    </row>
    <row r="492" spans="1:10" ht="13.5" customHeight="1">
      <c r="A492" s="226" t="s">
        <v>1408</v>
      </c>
      <c r="B492" s="408" t="s">
        <v>2778</v>
      </c>
      <c r="C492" s="408"/>
      <c r="D492" s="408"/>
      <c r="E492" s="408"/>
      <c r="F492" s="408"/>
      <c r="G492" s="408"/>
      <c r="H492" s="408"/>
      <c r="I492" s="408"/>
      <c r="J492" s="408"/>
    </row>
    <row r="493" spans="1:10" ht="13.5" customHeight="1">
      <c r="A493" s="226" t="s">
        <v>1410</v>
      </c>
      <c r="B493" s="408" t="s">
        <v>2779</v>
      </c>
      <c r="C493" s="408"/>
      <c r="D493" s="408"/>
      <c r="E493" s="408"/>
      <c r="F493" s="408"/>
      <c r="G493" s="408"/>
      <c r="H493" s="408"/>
      <c r="I493" s="408"/>
      <c r="J493" s="408"/>
    </row>
    <row r="494" spans="1:10" ht="13.5" customHeight="1">
      <c r="A494" s="226" t="s">
        <v>1412</v>
      </c>
      <c r="B494" s="408" t="s">
        <v>2780</v>
      </c>
      <c r="C494" s="408"/>
      <c r="D494" s="408"/>
      <c r="E494" s="408"/>
      <c r="F494" s="408"/>
      <c r="G494" s="408"/>
      <c r="H494" s="408"/>
      <c r="I494" s="408"/>
      <c r="J494" s="408"/>
    </row>
    <row r="495" spans="1:10" ht="13.5" customHeight="1">
      <c r="A495" s="226" t="s">
        <v>1414</v>
      </c>
      <c r="B495" s="408" t="s">
        <v>2781</v>
      </c>
      <c r="C495" s="408"/>
      <c r="D495" s="408"/>
      <c r="E495" s="408"/>
      <c r="F495" s="408"/>
      <c r="G495" s="408"/>
      <c r="H495" s="408"/>
      <c r="I495" s="408"/>
      <c r="J495" s="408"/>
    </row>
    <row r="496" spans="1:10" ht="13.5" customHeight="1">
      <c r="A496" s="226" t="s">
        <v>1416</v>
      </c>
      <c r="B496" s="408" t="s">
        <v>2782</v>
      </c>
      <c r="C496" s="408"/>
      <c r="D496" s="408"/>
      <c r="E496" s="408"/>
      <c r="F496" s="408"/>
      <c r="G496" s="408"/>
      <c r="H496" s="408"/>
      <c r="I496" s="408"/>
      <c r="J496" s="408"/>
    </row>
    <row r="497" spans="1:10" ht="13.5" customHeight="1">
      <c r="A497" s="226" t="s">
        <v>1418</v>
      </c>
      <c r="B497" s="408" t="s">
        <v>2783</v>
      </c>
      <c r="C497" s="408"/>
      <c r="D497" s="408"/>
      <c r="E497" s="408"/>
      <c r="F497" s="408"/>
      <c r="G497" s="408"/>
      <c r="H497" s="408"/>
      <c r="I497" s="408"/>
      <c r="J497" s="408"/>
    </row>
    <row r="498" spans="1:10" ht="13.5" customHeight="1">
      <c r="A498" s="226" t="s">
        <v>1420</v>
      </c>
      <c r="B498" s="408" t="s">
        <v>2784</v>
      </c>
      <c r="C498" s="408"/>
      <c r="D498" s="408"/>
      <c r="E498" s="408"/>
      <c r="F498" s="408"/>
      <c r="G498" s="408"/>
      <c r="H498" s="408"/>
      <c r="I498" s="408"/>
      <c r="J498" s="408"/>
    </row>
    <row r="499" spans="1:10" ht="13.5" customHeight="1">
      <c r="A499" s="226" t="s">
        <v>1422</v>
      </c>
      <c r="B499" s="408" t="s">
        <v>2785</v>
      </c>
      <c r="C499" s="408"/>
      <c r="D499" s="408"/>
      <c r="E499" s="408"/>
      <c r="F499" s="408"/>
      <c r="G499" s="408"/>
      <c r="H499" s="408"/>
      <c r="I499" s="408"/>
      <c r="J499" s="408"/>
    </row>
    <row r="500" spans="1:10" ht="13.5" customHeight="1">
      <c r="A500" s="226" t="s">
        <v>1424</v>
      </c>
      <c r="B500" s="408" t="s">
        <v>2786</v>
      </c>
      <c r="C500" s="408"/>
      <c r="D500" s="408"/>
      <c r="E500" s="408"/>
      <c r="F500" s="408"/>
      <c r="G500" s="408"/>
      <c r="H500" s="408"/>
      <c r="I500" s="408"/>
      <c r="J500" s="408"/>
    </row>
    <row r="501" spans="1:10" ht="13.5" customHeight="1">
      <c r="A501" s="226" t="s">
        <v>1426</v>
      </c>
      <c r="B501" s="408" t="s">
        <v>2787</v>
      </c>
      <c r="C501" s="408"/>
      <c r="D501" s="408"/>
      <c r="E501" s="408"/>
      <c r="F501" s="408"/>
      <c r="G501" s="408"/>
      <c r="H501" s="408"/>
      <c r="I501" s="408"/>
      <c r="J501" s="408"/>
    </row>
    <row r="502" spans="1:10" ht="13.5" customHeight="1">
      <c r="A502" s="226" t="s">
        <v>1428</v>
      </c>
      <c r="B502" s="408" t="s">
        <v>2788</v>
      </c>
      <c r="C502" s="408"/>
      <c r="D502" s="408"/>
      <c r="E502" s="408"/>
      <c r="F502" s="408"/>
      <c r="G502" s="408"/>
      <c r="H502" s="408"/>
      <c r="I502" s="408"/>
      <c r="J502" s="408"/>
    </row>
    <row r="503" spans="1:10" ht="13.5" customHeight="1">
      <c r="A503" s="226" t="s">
        <v>1430</v>
      </c>
      <c r="B503" s="408" t="s">
        <v>2789</v>
      </c>
      <c r="C503" s="408"/>
      <c r="D503" s="408"/>
      <c r="E503" s="408"/>
      <c r="F503" s="408"/>
      <c r="G503" s="408"/>
      <c r="H503" s="408"/>
      <c r="I503" s="408"/>
      <c r="J503" s="408"/>
    </row>
    <row r="504" spans="1:10" ht="13.5" customHeight="1">
      <c r="A504" s="226" t="s">
        <v>1432</v>
      </c>
      <c r="B504" s="408" t="s">
        <v>2790</v>
      </c>
      <c r="C504" s="408"/>
      <c r="D504" s="408"/>
      <c r="E504" s="408"/>
      <c r="F504" s="408"/>
      <c r="G504" s="408"/>
      <c r="H504" s="408"/>
      <c r="I504" s="408"/>
      <c r="J504" s="408"/>
    </row>
    <row r="505" spans="1:10" ht="13.5" customHeight="1">
      <c r="A505" s="226" t="s">
        <v>1434</v>
      </c>
      <c r="B505" s="408" t="s">
        <v>2791</v>
      </c>
      <c r="C505" s="408"/>
      <c r="D505" s="408"/>
      <c r="E505" s="408"/>
      <c r="F505" s="408"/>
      <c r="G505" s="408"/>
      <c r="H505" s="408"/>
      <c r="I505" s="408"/>
      <c r="J505" s="408"/>
    </row>
    <row r="506" spans="1:10" ht="13.5" customHeight="1">
      <c r="A506" s="226" t="s">
        <v>1436</v>
      </c>
      <c r="B506" s="408" t="s">
        <v>2792</v>
      </c>
      <c r="C506" s="408"/>
      <c r="D506" s="408"/>
      <c r="E506" s="408"/>
      <c r="F506" s="408"/>
      <c r="G506" s="408"/>
      <c r="H506" s="408"/>
      <c r="I506" s="408"/>
      <c r="J506" s="408"/>
    </row>
    <row r="507" spans="1:10" ht="13.5" customHeight="1">
      <c r="A507" s="226" t="s">
        <v>1438</v>
      </c>
      <c r="B507" s="408" t="s">
        <v>2793</v>
      </c>
      <c r="C507" s="408"/>
      <c r="D507" s="408"/>
      <c r="E507" s="408"/>
      <c r="F507" s="408"/>
      <c r="G507" s="408"/>
      <c r="H507" s="408"/>
      <c r="I507" s="408"/>
      <c r="J507" s="408"/>
    </row>
    <row r="508" spans="1:10" ht="13.5" customHeight="1">
      <c r="A508" s="226" t="s">
        <v>1440</v>
      </c>
      <c r="B508" s="408" t="s">
        <v>2794</v>
      </c>
      <c r="C508" s="408"/>
      <c r="D508" s="408"/>
      <c r="E508" s="408"/>
      <c r="F508" s="408"/>
      <c r="G508" s="408"/>
      <c r="H508" s="408"/>
      <c r="I508" s="408"/>
      <c r="J508" s="408"/>
    </row>
    <row r="509" spans="1:10" ht="13.5" customHeight="1">
      <c r="A509" s="226" t="s">
        <v>1442</v>
      </c>
      <c r="B509" s="408" t="s">
        <v>2795</v>
      </c>
      <c r="C509" s="408"/>
      <c r="D509" s="408"/>
      <c r="E509" s="408"/>
      <c r="F509" s="408"/>
      <c r="G509" s="408"/>
      <c r="H509" s="408"/>
      <c r="I509" s="408"/>
      <c r="J509" s="408"/>
    </row>
    <row r="510" spans="1:10" ht="13.5" customHeight="1">
      <c r="A510" s="226" t="s">
        <v>1444</v>
      </c>
      <c r="B510" s="408" t="s">
        <v>2796</v>
      </c>
      <c r="C510" s="408"/>
      <c r="D510" s="408"/>
      <c r="E510" s="408"/>
      <c r="F510" s="408"/>
      <c r="G510" s="408"/>
      <c r="H510" s="408"/>
      <c r="I510" s="408"/>
      <c r="J510" s="408"/>
    </row>
    <row r="511" spans="1:10" ht="13.5" customHeight="1">
      <c r="A511" s="226" t="s">
        <v>1446</v>
      </c>
      <c r="B511" s="408" t="s">
        <v>2797</v>
      </c>
      <c r="C511" s="408"/>
      <c r="D511" s="408"/>
      <c r="E511" s="408"/>
      <c r="F511" s="408"/>
      <c r="G511" s="408"/>
      <c r="H511" s="408"/>
      <c r="I511" s="408"/>
      <c r="J511" s="408"/>
    </row>
    <row r="512" spans="1:10" ht="13.5" customHeight="1">
      <c r="A512" s="226" t="s">
        <v>1448</v>
      </c>
      <c r="B512" s="408" t="s">
        <v>2798</v>
      </c>
      <c r="C512" s="408"/>
      <c r="D512" s="408"/>
      <c r="E512" s="408"/>
      <c r="F512" s="408"/>
      <c r="G512" s="408"/>
      <c r="H512" s="408"/>
      <c r="I512" s="408"/>
      <c r="J512" s="408"/>
    </row>
    <row r="513" spans="1:10" ht="13.5" customHeight="1">
      <c r="A513" s="226" t="s">
        <v>1450</v>
      </c>
      <c r="B513" s="408" t="s">
        <v>2799</v>
      </c>
      <c r="C513" s="408"/>
      <c r="D513" s="408"/>
      <c r="E513" s="408"/>
      <c r="F513" s="408"/>
      <c r="G513" s="408"/>
      <c r="H513" s="408"/>
      <c r="I513" s="408"/>
      <c r="J513" s="408"/>
    </row>
    <row r="514" spans="1:10" ht="13.5" customHeight="1">
      <c r="A514" s="226" t="s">
        <v>1452</v>
      </c>
      <c r="B514" s="408" t="s">
        <v>2800</v>
      </c>
      <c r="C514" s="408"/>
      <c r="D514" s="408"/>
      <c r="E514" s="408"/>
      <c r="F514" s="408"/>
      <c r="G514" s="408"/>
      <c r="H514" s="408"/>
      <c r="I514" s="408"/>
      <c r="J514" s="408"/>
    </row>
    <row r="515" spans="1:10" ht="13.5" customHeight="1">
      <c r="A515" s="226" t="s">
        <v>1454</v>
      </c>
      <c r="B515" s="408" t="s">
        <v>2801</v>
      </c>
      <c r="C515" s="408"/>
      <c r="D515" s="408"/>
      <c r="E515" s="408"/>
      <c r="F515" s="408"/>
      <c r="G515" s="408"/>
      <c r="H515" s="408"/>
      <c r="I515" s="408"/>
      <c r="J515" s="408"/>
    </row>
    <row r="516" spans="1:10" ht="13.5" customHeight="1">
      <c r="A516" s="226" t="s">
        <v>1456</v>
      </c>
      <c r="B516" s="408" t="s">
        <v>2802</v>
      </c>
      <c r="C516" s="408"/>
      <c r="D516" s="408"/>
      <c r="E516" s="408"/>
      <c r="F516" s="408"/>
      <c r="G516" s="408"/>
      <c r="H516" s="408"/>
      <c r="I516" s="408"/>
      <c r="J516" s="408"/>
    </row>
    <row r="517" spans="1:10" ht="13.5" customHeight="1">
      <c r="A517" s="226" t="s">
        <v>1458</v>
      </c>
      <c r="B517" s="408" t="s">
        <v>2803</v>
      </c>
      <c r="C517" s="408"/>
      <c r="D517" s="408"/>
      <c r="E517" s="408"/>
      <c r="F517" s="408"/>
      <c r="G517" s="408"/>
      <c r="H517" s="408"/>
      <c r="I517" s="408"/>
      <c r="J517" s="408"/>
    </row>
    <row r="518" spans="1:10" ht="13.5" customHeight="1">
      <c r="A518" s="226" t="s">
        <v>1459</v>
      </c>
      <c r="B518" s="408" t="s">
        <v>2804</v>
      </c>
      <c r="C518" s="408"/>
      <c r="D518" s="408"/>
      <c r="E518" s="408"/>
      <c r="F518" s="408"/>
      <c r="G518" s="408"/>
      <c r="H518" s="408"/>
      <c r="I518" s="408"/>
      <c r="J518" s="408"/>
    </row>
    <row r="519" spans="1:10" ht="13.5" customHeight="1">
      <c r="A519" s="226" t="s">
        <v>1461</v>
      </c>
      <c r="B519" s="408" t="s">
        <v>2805</v>
      </c>
      <c r="C519" s="408"/>
      <c r="D519" s="408"/>
      <c r="E519" s="408"/>
      <c r="F519" s="408"/>
      <c r="G519" s="408"/>
      <c r="H519" s="408"/>
      <c r="I519" s="408"/>
      <c r="J519" s="408"/>
    </row>
    <row r="520" spans="1:10" ht="13.5" customHeight="1">
      <c r="A520" s="226" t="s">
        <v>1463</v>
      </c>
      <c r="B520" s="408" t="s">
        <v>2806</v>
      </c>
      <c r="C520" s="408"/>
      <c r="D520" s="408"/>
      <c r="E520" s="408"/>
      <c r="F520" s="408"/>
      <c r="G520" s="408"/>
      <c r="H520" s="408"/>
      <c r="I520" s="408"/>
      <c r="J520" s="408"/>
    </row>
    <row r="521" spans="1:10" ht="13.5" customHeight="1">
      <c r="A521" s="226" t="s">
        <v>1465</v>
      </c>
      <c r="B521" s="408" t="s">
        <v>2807</v>
      </c>
      <c r="C521" s="408"/>
      <c r="D521" s="408"/>
      <c r="E521" s="408"/>
      <c r="F521" s="408"/>
      <c r="G521" s="408"/>
      <c r="H521" s="408"/>
      <c r="I521" s="408"/>
      <c r="J521" s="408"/>
    </row>
    <row r="522" spans="1:10" ht="13.5" customHeight="1">
      <c r="A522" s="226" t="s">
        <v>1467</v>
      </c>
      <c r="B522" s="408" t="s">
        <v>2808</v>
      </c>
      <c r="C522" s="408"/>
      <c r="D522" s="408"/>
      <c r="E522" s="408"/>
      <c r="F522" s="408"/>
      <c r="G522" s="408"/>
      <c r="H522" s="408"/>
      <c r="I522" s="408"/>
      <c r="J522" s="408"/>
    </row>
    <row r="523" spans="1:10" ht="13.5" customHeight="1">
      <c r="A523" s="226" t="s">
        <v>1469</v>
      </c>
      <c r="B523" s="408" t="s">
        <v>2809</v>
      </c>
      <c r="C523" s="408"/>
      <c r="D523" s="408"/>
      <c r="E523" s="408"/>
      <c r="F523" s="408"/>
      <c r="G523" s="408"/>
      <c r="H523" s="408"/>
      <c r="I523" s="408"/>
      <c r="J523" s="408"/>
    </row>
    <row r="524" spans="1:10" ht="13.5" customHeight="1">
      <c r="A524" s="226" t="s">
        <v>1471</v>
      </c>
      <c r="B524" s="408" t="s">
        <v>2810</v>
      </c>
      <c r="C524" s="408"/>
      <c r="D524" s="408"/>
      <c r="E524" s="408"/>
      <c r="F524" s="408"/>
      <c r="G524" s="408"/>
      <c r="H524" s="408"/>
      <c r="I524" s="408"/>
      <c r="J524" s="408"/>
    </row>
    <row r="525" spans="1:10" ht="13.5" customHeight="1">
      <c r="A525" s="226" t="s">
        <v>1473</v>
      </c>
      <c r="B525" s="408" t="s">
        <v>2811</v>
      </c>
      <c r="C525" s="408"/>
      <c r="D525" s="408"/>
      <c r="E525" s="408"/>
      <c r="F525" s="408"/>
      <c r="G525" s="408"/>
      <c r="H525" s="408"/>
      <c r="I525" s="408"/>
      <c r="J525" s="408"/>
    </row>
    <row r="526" spans="1:10" ht="13.5" customHeight="1">
      <c r="A526" s="226" t="s">
        <v>1475</v>
      </c>
      <c r="B526" s="408" t="s">
        <v>2812</v>
      </c>
      <c r="C526" s="408"/>
      <c r="D526" s="408"/>
      <c r="E526" s="408"/>
      <c r="F526" s="408"/>
      <c r="G526" s="408"/>
      <c r="H526" s="408"/>
      <c r="I526" s="408"/>
      <c r="J526" s="408"/>
    </row>
    <row r="527" spans="1:10" ht="13.5" customHeight="1">
      <c r="A527" s="226" t="s">
        <v>1477</v>
      </c>
      <c r="B527" s="408" t="s">
        <v>2813</v>
      </c>
      <c r="C527" s="408"/>
      <c r="D527" s="408"/>
      <c r="E527" s="408"/>
      <c r="F527" s="408"/>
      <c r="G527" s="408"/>
      <c r="H527" s="408"/>
      <c r="I527" s="408"/>
      <c r="J527" s="408"/>
    </row>
    <row r="528" spans="1:10" ht="13.5" customHeight="1">
      <c r="A528" s="226" t="s">
        <v>1479</v>
      </c>
      <c r="B528" s="408" t="s">
        <v>2814</v>
      </c>
      <c r="C528" s="408"/>
      <c r="D528" s="408"/>
      <c r="E528" s="408"/>
      <c r="F528" s="408"/>
      <c r="G528" s="408"/>
      <c r="H528" s="408"/>
      <c r="I528" s="408"/>
      <c r="J528" s="408"/>
    </row>
    <row r="529" spans="1:10" ht="25.5" customHeight="1">
      <c r="A529" s="226" t="s">
        <v>1481</v>
      </c>
      <c r="B529" s="408" t="s">
        <v>2815</v>
      </c>
      <c r="C529" s="408"/>
      <c r="D529" s="408"/>
      <c r="E529" s="408"/>
      <c r="F529" s="408"/>
      <c r="G529" s="408"/>
      <c r="H529" s="408"/>
      <c r="I529" s="408"/>
      <c r="J529" s="408"/>
    </row>
    <row r="530" spans="1:10" ht="13.5" customHeight="1">
      <c r="A530" s="226" t="s">
        <v>1483</v>
      </c>
      <c r="B530" s="408" t="s">
        <v>2816</v>
      </c>
      <c r="C530" s="408"/>
      <c r="D530" s="408"/>
      <c r="E530" s="408"/>
      <c r="F530" s="408"/>
      <c r="G530" s="408"/>
      <c r="H530" s="408"/>
      <c r="I530" s="408"/>
      <c r="J530" s="408"/>
    </row>
    <row r="531" spans="1:10" ht="13.5" customHeight="1">
      <c r="A531" s="226" t="s">
        <v>1485</v>
      </c>
      <c r="B531" s="408" t="s">
        <v>2817</v>
      </c>
      <c r="C531" s="408"/>
      <c r="D531" s="408"/>
      <c r="E531" s="408"/>
      <c r="F531" s="408"/>
      <c r="G531" s="408"/>
      <c r="H531" s="408"/>
      <c r="I531" s="408"/>
      <c r="J531" s="408"/>
    </row>
    <row r="532" spans="1:10" ht="13.5" customHeight="1">
      <c r="A532" s="226" t="s">
        <v>1487</v>
      </c>
      <c r="B532" s="408" t="s">
        <v>2818</v>
      </c>
      <c r="C532" s="408"/>
      <c r="D532" s="408"/>
      <c r="E532" s="408"/>
      <c r="F532" s="408"/>
      <c r="G532" s="408"/>
      <c r="H532" s="408"/>
      <c r="I532" s="408"/>
      <c r="J532" s="408"/>
    </row>
    <row r="533" spans="1:10" ht="13.5" customHeight="1">
      <c r="A533" s="226" t="s">
        <v>1489</v>
      </c>
      <c r="B533" s="408" t="s">
        <v>2819</v>
      </c>
      <c r="C533" s="408"/>
      <c r="D533" s="408"/>
      <c r="E533" s="408"/>
      <c r="F533" s="408"/>
      <c r="G533" s="408"/>
      <c r="H533" s="408"/>
      <c r="I533" s="408"/>
      <c r="J533" s="408"/>
    </row>
    <row r="534" spans="1:10" ht="13.5" customHeight="1">
      <c r="A534" s="226" t="s">
        <v>1491</v>
      </c>
      <c r="B534" s="408" t="s">
        <v>2820</v>
      </c>
      <c r="C534" s="408"/>
      <c r="D534" s="408"/>
      <c r="E534" s="408"/>
      <c r="F534" s="408"/>
      <c r="G534" s="408"/>
      <c r="H534" s="408"/>
      <c r="I534" s="408"/>
      <c r="J534" s="408"/>
    </row>
    <row r="535" spans="1:10" ht="13.5" customHeight="1">
      <c r="A535" s="226" t="s">
        <v>1493</v>
      </c>
      <c r="B535" s="408" t="s">
        <v>2821</v>
      </c>
      <c r="C535" s="408"/>
      <c r="D535" s="408"/>
      <c r="E535" s="408"/>
      <c r="F535" s="408"/>
      <c r="G535" s="408"/>
      <c r="H535" s="408"/>
      <c r="I535" s="408"/>
      <c r="J535" s="408"/>
    </row>
    <row r="536" spans="1:10" ht="13.5" customHeight="1">
      <c r="A536" s="226" t="s">
        <v>1495</v>
      </c>
      <c r="B536" s="408" t="s">
        <v>2822</v>
      </c>
      <c r="C536" s="408"/>
      <c r="D536" s="408"/>
      <c r="E536" s="408"/>
      <c r="F536" s="408"/>
      <c r="G536" s="408"/>
      <c r="H536" s="408"/>
      <c r="I536" s="408"/>
      <c r="J536" s="408"/>
    </row>
    <row r="537" spans="1:10" ht="13.5" customHeight="1">
      <c r="A537" s="226" t="s">
        <v>1497</v>
      </c>
      <c r="B537" s="408" t="s">
        <v>2823</v>
      </c>
      <c r="C537" s="408"/>
      <c r="D537" s="408"/>
      <c r="E537" s="408"/>
      <c r="F537" s="408"/>
      <c r="G537" s="408"/>
      <c r="H537" s="408"/>
      <c r="I537" s="408"/>
      <c r="J537" s="408"/>
    </row>
    <row r="538" spans="1:10" ht="13.5" customHeight="1">
      <c r="A538" s="226" t="s">
        <v>1499</v>
      </c>
      <c r="B538" s="408" t="s">
        <v>2824</v>
      </c>
      <c r="C538" s="408"/>
      <c r="D538" s="408"/>
      <c r="E538" s="408"/>
      <c r="F538" s="408"/>
      <c r="G538" s="408"/>
      <c r="H538" s="408"/>
      <c r="I538" s="408"/>
      <c r="J538" s="408"/>
    </row>
    <row r="539" spans="1:10" ht="13.5" customHeight="1">
      <c r="A539" s="226" t="s">
        <v>1501</v>
      </c>
      <c r="B539" s="408" t="s">
        <v>2825</v>
      </c>
      <c r="C539" s="408"/>
      <c r="D539" s="408"/>
      <c r="E539" s="408"/>
      <c r="F539" s="408"/>
      <c r="G539" s="408"/>
      <c r="H539" s="408"/>
      <c r="I539" s="408"/>
      <c r="J539" s="408"/>
    </row>
    <row r="540" spans="1:10" ht="13.5" customHeight="1">
      <c r="A540" s="226" t="s">
        <v>1503</v>
      </c>
      <c r="B540" s="408" t="s">
        <v>2826</v>
      </c>
      <c r="C540" s="408"/>
      <c r="D540" s="408"/>
      <c r="E540" s="408"/>
      <c r="F540" s="408"/>
      <c r="G540" s="408"/>
      <c r="H540" s="408"/>
      <c r="I540" s="408"/>
      <c r="J540" s="408"/>
    </row>
    <row r="541" spans="1:10" ht="13.5" customHeight="1">
      <c r="A541" s="226" t="s">
        <v>1505</v>
      </c>
      <c r="B541" s="408" t="s">
        <v>2827</v>
      </c>
      <c r="C541" s="408"/>
      <c r="D541" s="408"/>
      <c r="E541" s="408"/>
      <c r="F541" s="408"/>
      <c r="G541" s="408"/>
      <c r="H541" s="408"/>
      <c r="I541" s="408"/>
      <c r="J541" s="408"/>
    </row>
    <row r="542" spans="1:10" ht="13.5" customHeight="1">
      <c r="A542" s="226" t="s">
        <v>1507</v>
      </c>
      <c r="B542" s="408" t="s">
        <v>2828</v>
      </c>
      <c r="C542" s="408"/>
      <c r="D542" s="408"/>
      <c r="E542" s="408"/>
      <c r="F542" s="408"/>
      <c r="G542" s="408"/>
      <c r="H542" s="408"/>
      <c r="I542" s="408"/>
      <c r="J542" s="408"/>
    </row>
    <row r="543" spans="1:10" ht="13.5" customHeight="1">
      <c r="A543" s="226" t="s">
        <v>1509</v>
      </c>
      <c r="B543" s="408" t="s">
        <v>2829</v>
      </c>
      <c r="C543" s="408"/>
      <c r="D543" s="408"/>
      <c r="E543" s="408"/>
      <c r="F543" s="408"/>
      <c r="G543" s="408"/>
      <c r="H543" s="408"/>
      <c r="I543" s="408"/>
      <c r="J543" s="408"/>
    </row>
    <row r="544" spans="1:10" ht="13.5" customHeight="1">
      <c r="A544" s="226" t="s">
        <v>1511</v>
      </c>
      <c r="B544" s="408" t="s">
        <v>2830</v>
      </c>
      <c r="C544" s="408"/>
      <c r="D544" s="408"/>
      <c r="E544" s="408"/>
      <c r="F544" s="408"/>
      <c r="G544" s="408"/>
      <c r="H544" s="408"/>
      <c r="I544" s="408"/>
      <c r="J544" s="408"/>
    </row>
    <row r="545" spans="1:10" ht="13.5" customHeight="1">
      <c r="A545" s="226" t="s">
        <v>1513</v>
      </c>
      <c r="B545" s="408" t="s">
        <v>2831</v>
      </c>
      <c r="C545" s="408"/>
      <c r="D545" s="408"/>
      <c r="E545" s="408"/>
      <c r="F545" s="408"/>
      <c r="G545" s="408"/>
      <c r="H545" s="408"/>
      <c r="I545" s="408"/>
      <c r="J545" s="408"/>
    </row>
    <row r="546" spans="1:10" ht="13.5" customHeight="1">
      <c r="A546" s="226" t="s">
        <v>1515</v>
      </c>
      <c r="B546" s="408" t="s">
        <v>2832</v>
      </c>
      <c r="C546" s="408"/>
      <c r="D546" s="408"/>
      <c r="E546" s="408"/>
      <c r="F546" s="408"/>
      <c r="G546" s="408"/>
      <c r="H546" s="408"/>
      <c r="I546" s="408"/>
      <c r="J546" s="408"/>
    </row>
    <row r="547" spans="1:10" ht="13.5" customHeight="1">
      <c r="A547" s="226" t="s">
        <v>1517</v>
      </c>
      <c r="B547" s="408" t="s">
        <v>2833</v>
      </c>
      <c r="C547" s="408"/>
      <c r="D547" s="408"/>
      <c r="E547" s="408"/>
      <c r="F547" s="408"/>
      <c r="G547" s="408"/>
      <c r="H547" s="408"/>
      <c r="I547" s="408"/>
      <c r="J547" s="408"/>
    </row>
    <row r="548" spans="1:10" ht="13.5" customHeight="1">
      <c r="A548" s="226" t="s">
        <v>1519</v>
      </c>
      <c r="B548" s="408" t="s">
        <v>2834</v>
      </c>
      <c r="C548" s="408"/>
      <c r="D548" s="408"/>
      <c r="E548" s="408"/>
      <c r="F548" s="408"/>
      <c r="G548" s="408"/>
      <c r="H548" s="408"/>
      <c r="I548" s="408"/>
      <c r="J548" s="408"/>
    </row>
    <row r="549" spans="1:10" ht="13.5" customHeight="1">
      <c r="A549" s="226" t="s">
        <v>1521</v>
      </c>
      <c r="B549" s="408" t="s">
        <v>2835</v>
      </c>
      <c r="C549" s="408"/>
      <c r="D549" s="408"/>
      <c r="E549" s="408"/>
      <c r="F549" s="408"/>
      <c r="G549" s="408"/>
      <c r="H549" s="408"/>
      <c r="I549" s="408"/>
      <c r="J549" s="408"/>
    </row>
    <row r="550" spans="1:10" ht="13.5" customHeight="1">
      <c r="A550" s="226" t="s">
        <v>1523</v>
      </c>
      <c r="B550" s="408" t="s">
        <v>2836</v>
      </c>
      <c r="C550" s="408"/>
      <c r="D550" s="408"/>
      <c r="E550" s="408"/>
      <c r="F550" s="408"/>
      <c r="G550" s="408"/>
      <c r="H550" s="408"/>
      <c r="I550" s="408"/>
      <c r="J550" s="408"/>
    </row>
    <row r="551" spans="1:10" ht="13.5" customHeight="1">
      <c r="A551" s="226" t="s">
        <v>1525</v>
      </c>
      <c r="B551" s="408" t="s">
        <v>2837</v>
      </c>
      <c r="C551" s="408"/>
      <c r="D551" s="408"/>
      <c r="E551" s="408"/>
      <c r="F551" s="408"/>
      <c r="G551" s="408"/>
      <c r="H551" s="408"/>
      <c r="I551" s="408"/>
      <c r="J551" s="408"/>
    </row>
    <row r="552" spans="1:10" ht="25.5" customHeight="1">
      <c r="A552" s="226" t="s">
        <v>1527</v>
      </c>
      <c r="B552" s="408" t="s">
        <v>2838</v>
      </c>
      <c r="C552" s="408"/>
      <c r="D552" s="408"/>
      <c r="E552" s="408"/>
      <c r="F552" s="408"/>
      <c r="G552" s="408"/>
      <c r="H552" s="408"/>
      <c r="I552" s="408"/>
      <c r="J552" s="408"/>
    </row>
    <row r="553" spans="1:10" ht="13.5" customHeight="1">
      <c r="A553" s="226" t="s">
        <v>1529</v>
      </c>
      <c r="B553" s="408" t="s">
        <v>2839</v>
      </c>
      <c r="C553" s="408"/>
      <c r="D553" s="408"/>
      <c r="E553" s="408"/>
      <c r="F553" s="408"/>
      <c r="G553" s="408"/>
      <c r="H553" s="408"/>
      <c r="I553" s="408"/>
      <c r="J553" s="408"/>
    </row>
    <row r="554" spans="1:10" ht="13.5" customHeight="1">
      <c r="A554" s="226" t="s">
        <v>1531</v>
      </c>
      <c r="B554" s="408" t="s">
        <v>2840</v>
      </c>
      <c r="C554" s="408"/>
      <c r="D554" s="408"/>
      <c r="E554" s="408"/>
      <c r="F554" s="408"/>
      <c r="G554" s="408"/>
      <c r="H554" s="408"/>
      <c r="I554" s="408"/>
      <c r="J554" s="408"/>
    </row>
    <row r="555" spans="1:10" ht="13.5" customHeight="1">
      <c r="A555" s="226" t="s">
        <v>1533</v>
      </c>
      <c r="B555" s="408" t="s">
        <v>2841</v>
      </c>
      <c r="C555" s="408"/>
      <c r="D555" s="408"/>
      <c r="E555" s="408"/>
      <c r="F555" s="408"/>
      <c r="G555" s="408"/>
      <c r="H555" s="408"/>
      <c r="I555" s="408"/>
      <c r="J555" s="408"/>
    </row>
    <row r="556" spans="1:10" ht="13.5" customHeight="1">
      <c r="A556" s="226" t="s">
        <v>1535</v>
      </c>
      <c r="B556" s="408" t="s">
        <v>2842</v>
      </c>
      <c r="C556" s="408"/>
      <c r="D556" s="408"/>
      <c r="E556" s="408"/>
      <c r="F556" s="408"/>
      <c r="G556" s="408"/>
      <c r="H556" s="408"/>
      <c r="I556" s="408"/>
      <c r="J556" s="408"/>
    </row>
    <row r="557" spans="1:10" ht="13.5" customHeight="1">
      <c r="A557" s="226" t="s">
        <v>1537</v>
      </c>
      <c r="B557" s="408" t="s">
        <v>2843</v>
      </c>
      <c r="C557" s="408"/>
      <c r="D557" s="408"/>
      <c r="E557" s="408"/>
      <c r="F557" s="408"/>
      <c r="G557" s="408"/>
      <c r="H557" s="408"/>
      <c r="I557" s="408"/>
      <c r="J557" s="408"/>
    </row>
    <row r="558" spans="1:10" ht="13.5" customHeight="1">
      <c r="A558" s="226" t="s">
        <v>1539</v>
      </c>
      <c r="B558" s="408" t="s">
        <v>2844</v>
      </c>
      <c r="C558" s="408"/>
      <c r="D558" s="408"/>
      <c r="E558" s="408"/>
      <c r="F558" s="408"/>
      <c r="G558" s="408"/>
      <c r="H558" s="408"/>
      <c r="I558" s="408"/>
      <c r="J558" s="408"/>
    </row>
    <row r="559" spans="1:10" ht="13.5" customHeight="1">
      <c r="A559" s="226" t="s">
        <v>1541</v>
      </c>
      <c r="B559" s="408" t="s">
        <v>2845</v>
      </c>
      <c r="C559" s="408"/>
      <c r="D559" s="408"/>
      <c r="E559" s="408"/>
      <c r="F559" s="408"/>
      <c r="G559" s="408"/>
      <c r="H559" s="408"/>
      <c r="I559" s="408"/>
      <c r="J559" s="408"/>
    </row>
    <row r="560" spans="1:10" ht="13.5" customHeight="1">
      <c r="A560" s="226" t="s">
        <v>1543</v>
      </c>
      <c r="B560" s="408" t="s">
        <v>2846</v>
      </c>
      <c r="C560" s="408"/>
      <c r="D560" s="408"/>
      <c r="E560" s="408"/>
      <c r="F560" s="408"/>
      <c r="G560" s="408"/>
      <c r="H560" s="408"/>
      <c r="I560" s="408"/>
      <c r="J560" s="408"/>
    </row>
    <row r="561" spans="1:10" ht="13.5" customHeight="1">
      <c r="A561" s="226" t="s">
        <v>1544</v>
      </c>
      <c r="B561" s="408" t="s">
        <v>2847</v>
      </c>
      <c r="C561" s="408"/>
      <c r="D561" s="408"/>
      <c r="E561" s="408"/>
      <c r="F561" s="408"/>
      <c r="G561" s="408"/>
      <c r="H561" s="408"/>
      <c r="I561" s="408"/>
      <c r="J561" s="408"/>
    </row>
    <row r="562" spans="1:10" ht="13.5" customHeight="1">
      <c r="A562" s="226" t="s">
        <v>1545</v>
      </c>
      <c r="B562" s="408" t="s">
        <v>2848</v>
      </c>
      <c r="C562" s="408"/>
      <c r="D562" s="408"/>
      <c r="E562" s="408"/>
      <c r="F562" s="408"/>
      <c r="G562" s="408"/>
      <c r="H562" s="408"/>
      <c r="I562" s="408"/>
      <c r="J562" s="408"/>
    </row>
    <row r="563" spans="1:10" ht="13.5" customHeight="1">
      <c r="A563" s="226" t="s">
        <v>1546</v>
      </c>
      <c r="B563" s="408" t="s">
        <v>2849</v>
      </c>
      <c r="C563" s="408"/>
      <c r="D563" s="408"/>
      <c r="E563" s="408"/>
      <c r="F563" s="408"/>
      <c r="G563" s="408"/>
      <c r="H563" s="408"/>
      <c r="I563" s="408"/>
      <c r="J563" s="408"/>
    </row>
    <row r="564" spans="1:10" ht="13.5" customHeight="1">
      <c r="A564" s="226" t="s">
        <v>1547</v>
      </c>
      <c r="B564" s="408" t="s">
        <v>2850</v>
      </c>
      <c r="C564" s="408"/>
      <c r="D564" s="408"/>
      <c r="E564" s="408"/>
      <c r="F564" s="408"/>
      <c r="G564" s="408"/>
      <c r="H564" s="408"/>
      <c r="I564" s="408"/>
      <c r="J564" s="408"/>
    </row>
    <row r="565" spans="1:10" ht="13.5" customHeight="1">
      <c r="A565" s="226" t="s">
        <v>1548</v>
      </c>
      <c r="B565" s="408" t="s">
        <v>2851</v>
      </c>
      <c r="C565" s="408"/>
      <c r="D565" s="408"/>
      <c r="E565" s="408"/>
      <c r="F565" s="408"/>
      <c r="G565" s="408"/>
      <c r="H565" s="408"/>
      <c r="I565" s="408"/>
      <c r="J565" s="408"/>
    </row>
    <row r="566" spans="1:10" ht="13.5" customHeight="1">
      <c r="A566" s="226" t="s">
        <v>1549</v>
      </c>
      <c r="B566" s="408" t="s">
        <v>2852</v>
      </c>
      <c r="C566" s="408"/>
      <c r="D566" s="408"/>
      <c r="E566" s="408"/>
      <c r="F566" s="408"/>
      <c r="G566" s="408"/>
      <c r="H566" s="408"/>
      <c r="I566" s="408"/>
      <c r="J566" s="408"/>
    </row>
    <row r="567" spans="1:10" ht="13.5" customHeight="1">
      <c r="A567" s="226" t="s">
        <v>1550</v>
      </c>
      <c r="B567" s="408" t="s">
        <v>2853</v>
      </c>
      <c r="C567" s="408"/>
      <c r="D567" s="408"/>
      <c r="E567" s="408"/>
      <c r="F567" s="408"/>
      <c r="G567" s="408"/>
      <c r="H567" s="408"/>
      <c r="I567" s="408"/>
      <c r="J567" s="408"/>
    </row>
    <row r="568" spans="1:10" ht="13.5" customHeight="1">
      <c r="A568" s="226" t="s">
        <v>1551</v>
      </c>
      <c r="B568" s="408" t="s">
        <v>2854</v>
      </c>
      <c r="C568" s="408"/>
      <c r="D568" s="408"/>
      <c r="E568" s="408"/>
      <c r="F568" s="408"/>
      <c r="G568" s="408"/>
      <c r="H568" s="408"/>
      <c r="I568" s="408"/>
      <c r="J568" s="408"/>
    </row>
    <row r="569" spans="1:10" ht="13.5" customHeight="1">
      <c r="A569" s="226" t="s">
        <v>1552</v>
      </c>
      <c r="B569" s="408" t="s">
        <v>2855</v>
      </c>
      <c r="C569" s="408"/>
      <c r="D569" s="408"/>
      <c r="E569" s="408"/>
      <c r="F569" s="408"/>
      <c r="G569" s="408"/>
      <c r="H569" s="408"/>
      <c r="I569" s="408"/>
      <c r="J569" s="408"/>
    </row>
    <row r="570" spans="1:10" ht="13.5" customHeight="1">
      <c r="A570" s="226" t="s">
        <v>1553</v>
      </c>
      <c r="B570" s="408" t="s">
        <v>2856</v>
      </c>
      <c r="C570" s="408"/>
      <c r="D570" s="408"/>
      <c r="E570" s="408"/>
      <c r="F570" s="408"/>
      <c r="G570" s="408"/>
      <c r="H570" s="408"/>
      <c r="I570" s="408"/>
      <c r="J570" s="408"/>
    </row>
    <row r="571" spans="1:10" ht="13.5" customHeight="1">
      <c r="A571" s="226" t="s">
        <v>1554</v>
      </c>
      <c r="B571" s="408" t="s">
        <v>2857</v>
      </c>
      <c r="C571" s="408"/>
      <c r="D571" s="408"/>
      <c r="E571" s="408"/>
      <c r="F571" s="408"/>
      <c r="G571" s="408"/>
      <c r="H571" s="408"/>
      <c r="I571" s="408"/>
      <c r="J571" s="408"/>
    </row>
    <row r="572" spans="1:10" ht="13.5" customHeight="1">
      <c r="A572" s="226" t="s">
        <v>1555</v>
      </c>
      <c r="B572" s="408" t="s">
        <v>2858</v>
      </c>
      <c r="C572" s="408"/>
      <c r="D572" s="408"/>
      <c r="E572" s="408"/>
      <c r="F572" s="408"/>
      <c r="G572" s="408"/>
      <c r="H572" s="408"/>
      <c r="I572" s="408"/>
      <c r="J572" s="408"/>
    </row>
    <row r="573" spans="1:10" ht="13.5" customHeight="1">
      <c r="A573" s="226" t="s">
        <v>1556</v>
      </c>
      <c r="B573" s="408" t="s">
        <v>2859</v>
      </c>
      <c r="C573" s="408"/>
      <c r="D573" s="408"/>
      <c r="E573" s="408"/>
      <c r="F573" s="408"/>
      <c r="G573" s="408"/>
      <c r="H573" s="408"/>
      <c r="I573" s="408"/>
      <c r="J573" s="408"/>
    </row>
    <row r="574" spans="1:10" ht="13.5" customHeight="1">
      <c r="A574" s="226" t="s">
        <v>1557</v>
      </c>
      <c r="B574" s="408" t="s">
        <v>2860</v>
      </c>
      <c r="C574" s="408"/>
      <c r="D574" s="408"/>
      <c r="E574" s="408"/>
      <c r="F574" s="408"/>
      <c r="G574" s="408"/>
      <c r="H574" s="408"/>
      <c r="I574" s="408"/>
      <c r="J574" s="408"/>
    </row>
    <row r="575" spans="1:10" ht="13.5" customHeight="1">
      <c r="A575" s="226" t="s">
        <v>1558</v>
      </c>
      <c r="B575" s="408" t="s">
        <v>2861</v>
      </c>
      <c r="C575" s="408"/>
      <c r="D575" s="408"/>
      <c r="E575" s="408"/>
      <c r="F575" s="408"/>
      <c r="G575" s="408"/>
      <c r="H575" s="408"/>
      <c r="I575" s="408"/>
      <c r="J575" s="408"/>
    </row>
    <row r="576" spans="1:10" ht="13.5" customHeight="1">
      <c r="A576" s="226" t="s">
        <v>1559</v>
      </c>
      <c r="B576" s="408" t="s">
        <v>2862</v>
      </c>
      <c r="C576" s="408"/>
      <c r="D576" s="408"/>
      <c r="E576" s="408"/>
      <c r="F576" s="408"/>
      <c r="G576" s="408"/>
      <c r="H576" s="408"/>
      <c r="I576" s="408"/>
      <c r="J576" s="408"/>
    </row>
    <row r="577" spans="1:10" ht="25.5" customHeight="1">
      <c r="A577" s="226" t="s">
        <v>1560</v>
      </c>
      <c r="B577" s="408" t="s">
        <v>2863</v>
      </c>
      <c r="C577" s="408"/>
      <c r="D577" s="408"/>
      <c r="E577" s="408"/>
      <c r="F577" s="408"/>
      <c r="G577" s="408"/>
      <c r="H577" s="408"/>
      <c r="I577" s="408"/>
      <c r="J577" s="408"/>
    </row>
    <row r="578" spans="1:10" ht="13.5" customHeight="1">
      <c r="A578" s="226" t="s">
        <v>1561</v>
      </c>
      <c r="B578" s="408" t="s">
        <v>2864</v>
      </c>
      <c r="C578" s="408"/>
      <c r="D578" s="408"/>
      <c r="E578" s="408"/>
      <c r="F578" s="408"/>
      <c r="G578" s="408"/>
      <c r="H578" s="408"/>
      <c r="I578" s="408"/>
      <c r="J578" s="408"/>
    </row>
    <row r="579" spans="1:10" ht="13.5" customHeight="1">
      <c r="A579" s="226" t="s">
        <v>1562</v>
      </c>
      <c r="B579" s="408" t="s">
        <v>2865</v>
      </c>
      <c r="C579" s="408"/>
      <c r="D579" s="408"/>
      <c r="E579" s="408"/>
      <c r="F579" s="408"/>
      <c r="G579" s="408"/>
      <c r="H579" s="408"/>
      <c r="I579" s="408"/>
      <c r="J579" s="408"/>
    </row>
    <row r="580" spans="1:10" ht="13.5" customHeight="1">
      <c r="A580" s="226" t="s">
        <v>1563</v>
      </c>
      <c r="B580" s="408" t="s">
        <v>2866</v>
      </c>
      <c r="C580" s="408"/>
      <c r="D580" s="408"/>
      <c r="E580" s="408"/>
      <c r="F580" s="408"/>
      <c r="G580" s="408"/>
      <c r="H580" s="408"/>
      <c r="I580" s="408"/>
      <c r="J580" s="408"/>
    </row>
    <row r="581" spans="1:10" ht="13.5" customHeight="1">
      <c r="A581" s="226" t="s">
        <v>1564</v>
      </c>
      <c r="B581" s="408" t="s">
        <v>2867</v>
      </c>
      <c r="C581" s="408"/>
      <c r="D581" s="408"/>
      <c r="E581" s="408"/>
      <c r="F581" s="408"/>
      <c r="G581" s="408"/>
      <c r="H581" s="408"/>
      <c r="I581" s="408"/>
      <c r="J581" s="408"/>
    </row>
    <row r="582" spans="1:10" ht="13.5" customHeight="1">
      <c r="A582" s="226" t="s">
        <v>1565</v>
      </c>
      <c r="B582" s="408" t="s">
        <v>2868</v>
      </c>
      <c r="C582" s="408"/>
      <c r="D582" s="408"/>
      <c r="E582" s="408"/>
      <c r="F582" s="408"/>
      <c r="G582" s="408"/>
      <c r="H582" s="408"/>
      <c r="I582" s="408"/>
      <c r="J582" s="408"/>
    </row>
    <row r="583" spans="1:10" ht="13.5" customHeight="1">
      <c r="A583" s="226" t="s">
        <v>1566</v>
      </c>
      <c r="B583" s="408" t="s">
        <v>2869</v>
      </c>
      <c r="C583" s="408"/>
      <c r="D583" s="408"/>
      <c r="E583" s="408"/>
      <c r="F583" s="408"/>
      <c r="G583" s="408"/>
      <c r="H583" s="408"/>
      <c r="I583" s="408"/>
      <c r="J583" s="408"/>
    </row>
    <row r="584" spans="1:10" ht="13.5" customHeight="1">
      <c r="A584" s="226" t="s">
        <v>1567</v>
      </c>
      <c r="B584" s="408" t="s">
        <v>2870</v>
      </c>
      <c r="C584" s="408"/>
      <c r="D584" s="408"/>
      <c r="E584" s="408"/>
      <c r="F584" s="408"/>
      <c r="G584" s="408"/>
      <c r="H584" s="408"/>
      <c r="I584" s="408"/>
      <c r="J584" s="408"/>
    </row>
    <row r="585" spans="1:10" ht="13.5" customHeight="1">
      <c r="A585" s="226" t="s">
        <v>1568</v>
      </c>
      <c r="B585" s="408" t="s">
        <v>2871</v>
      </c>
      <c r="C585" s="408"/>
      <c r="D585" s="408"/>
      <c r="E585" s="408"/>
      <c r="F585" s="408"/>
      <c r="G585" s="408"/>
      <c r="H585" s="408"/>
      <c r="I585" s="408"/>
      <c r="J585" s="408"/>
    </row>
    <row r="586" spans="1:10" ht="13.5" customHeight="1">
      <c r="A586" s="226" t="s">
        <v>1569</v>
      </c>
      <c r="B586" s="408" t="s">
        <v>2872</v>
      </c>
      <c r="C586" s="408"/>
      <c r="D586" s="408"/>
      <c r="E586" s="408"/>
      <c r="F586" s="408"/>
      <c r="G586" s="408"/>
      <c r="H586" s="408"/>
      <c r="I586" s="408"/>
      <c r="J586" s="408"/>
    </row>
    <row r="587" spans="1:10" ht="13.5" customHeight="1">
      <c r="A587" s="226" t="s">
        <v>1570</v>
      </c>
      <c r="B587" s="408" t="s">
        <v>2873</v>
      </c>
      <c r="C587" s="408"/>
      <c r="D587" s="408"/>
      <c r="E587" s="408"/>
      <c r="F587" s="408"/>
      <c r="G587" s="408"/>
      <c r="H587" s="408"/>
      <c r="I587" s="408"/>
      <c r="J587" s="408"/>
    </row>
    <row r="588" spans="1:10" ht="13.5" customHeight="1">
      <c r="A588" s="226" t="s">
        <v>1571</v>
      </c>
      <c r="B588" s="408" t="s">
        <v>2874</v>
      </c>
      <c r="C588" s="408"/>
      <c r="D588" s="408"/>
      <c r="E588" s="408"/>
      <c r="F588" s="408"/>
      <c r="G588" s="408"/>
      <c r="H588" s="408"/>
      <c r="I588" s="408"/>
      <c r="J588" s="408"/>
    </row>
    <row r="589" spans="1:10" ht="13.5" customHeight="1">
      <c r="A589" s="226" t="s">
        <v>1572</v>
      </c>
      <c r="B589" s="408" t="s">
        <v>2875</v>
      </c>
      <c r="C589" s="408"/>
      <c r="D589" s="408"/>
      <c r="E589" s="408"/>
      <c r="F589" s="408"/>
      <c r="G589" s="408"/>
      <c r="H589" s="408"/>
      <c r="I589" s="408"/>
      <c r="J589" s="408"/>
    </row>
    <row r="590" spans="1:10" ht="13.5" customHeight="1">
      <c r="A590" s="226" t="s">
        <v>1573</v>
      </c>
      <c r="B590" s="408" t="s">
        <v>2876</v>
      </c>
      <c r="C590" s="408"/>
      <c r="D590" s="408"/>
      <c r="E590" s="408"/>
      <c r="F590" s="408"/>
      <c r="G590" s="408"/>
      <c r="H590" s="408"/>
      <c r="I590" s="408"/>
      <c r="J590" s="408"/>
    </row>
    <row r="591" spans="1:10" ht="13.5" customHeight="1">
      <c r="A591" s="226" t="s">
        <v>1574</v>
      </c>
      <c r="B591" s="408" t="s">
        <v>2877</v>
      </c>
      <c r="C591" s="408"/>
      <c r="D591" s="408"/>
      <c r="E591" s="408"/>
      <c r="F591" s="408"/>
      <c r="G591" s="408"/>
      <c r="H591" s="408"/>
      <c r="I591" s="408"/>
      <c r="J591" s="408"/>
    </row>
    <row r="592" spans="1:10" ht="13.5" customHeight="1">
      <c r="A592" s="226" t="s">
        <v>1575</v>
      </c>
      <c r="B592" s="408" t="s">
        <v>2878</v>
      </c>
      <c r="C592" s="408"/>
      <c r="D592" s="408"/>
      <c r="E592" s="408"/>
      <c r="F592" s="408"/>
      <c r="G592" s="408"/>
      <c r="H592" s="408"/>
      <c r="I592" s="408"/>
      <c r="J592" s="408"/>
    </row>
    <row r="593" spans="1:10" ht="13.5" customHeight="1">
      <c r="A593" s="226" t="s">
        <v>1576</v>
      </c>
      <c r="B593" s="408" t="s">
        <v>2879</v>
      </c>
      <c r="C593" s="408"/>
      <c r="D593" s="408"/>
      <c r="E593" s="408"/>
      <c r="F593" s="408"/>
      <c r="G593" s="408"/>
      <c r="H593" s="408"/>
      <c r="I593" s="408"/>
      <c r="J593" s="408"/>
    </row>
    <row r="594" spans="1:10" ht="13.5" customHeight="1">
      <c r="A594" s="226" t="s">
        <v>1577</v>
      </c>
      <c r="B594" s="408" t="s">
        <v>2880</v>
      </c>
      <c r="C594" s="408"/>
      <c r="D594" s="408"/>
      <c r="E594" s="408"/>
      <c r="F594" s="408"/>
      <c r="G594" s="408"/>
      <c r="H594" s="408"/>
      <c r="I594" s="408"/>
      <c r="J594" s="408"/>
    </row>
    <row r="595" spans="1:10" ht="13.5" customHeight="1">
      <c r="A595" s="226" t="s">
        <v>1578</v>
      </c>
      <c r="B595" s="408" t="s">
        <v>2881</v>
      </c>
      <c r="C595" s="408"/>
      <c r="D595" s="408"/>
      <c r="E595" s="408"/>
      <c r="F595" s="408"/>
      <c r="G595" s="408"/>
      <c r="H595" s="408"/>
      <c r="I595" s="408"/>
      <c r="J595" s="408"/>
    </row>
    <row r="596" spans="1:10" ht="13.5" customHeight="1">
      <c r="A596" s="226" t="s">
        <v>1579</v>
      </c>
      <c r="B596" s="408" t="s">
        <v>2882</v>
      </c>
      <c r="C596" s="408"/>
      <c r="D596" s="408"/>
      <c r="E596" s="408"/>
      <c r="F596" s="408"/>
      <c r="G596" s="408"/>
      <c r="H596" s="408"/>
      <c r="I596" s="408"/>
      <c r="J596" s="408"/>
    </row>
    <row r="597" spans="1:10" ht="13.5" customHeight="1">
      <c r="A597" s="226" t="s">
        <v>1580</v>
      </c>
      <c r="B597" s="408" t="s">
        <v>2883</v>
      </c>
      <c r="C597" s="408"/>
      <c r="D597" s="408"/>
      <c r="E597" s="408"/>
      <c r="F597" s="408"/>
      <c r="G597" s="408"/>
      <c r="H597" s="408"/>
      <c r="I597" s="408"/>
      <c r="J597" s="408"/>
    </row>
    <row r="598" spans="1:10" ht="13.5" customHeight="1">
      <c r="A598" s="226" t="s">
        <v>1581</v>
      </c>
      <c r="B598" s="408" t="s">
        <v>2884</v>
      </c>
      <c r="C598" s="408"/>
      <c r="D598" s="408"/>
      <c r="E598" s="408"/>
      <c r="F598" s="408"/>
      <c r="G598" s="408"/>
      <c r="H598" s="408"/>
      <c r="I598" s="408"/>
      <c r="J598" s="408"/>
    </row>
    <row r="599" spans="1:10" ht="13.5" customHeight="1">
      <c r="A599" s="226" t="s">
        <v>1582</v>
      </c>
      <c r="B599" s="408" t="s">
        <v>2885</v>
      </c>
      <c r="C599" s="408"/>
      <c r="D599" s="408"/>
      <c r="E599" s="408"/>
      <c r="F599" s="408"/>
      <c r="G599" s="408"/>
      <c r="H599" s="408"/>
      <c r="I599" s="408"/>
      <c r="J599" s="408"/>
    </row>
    <row r="600" spans="1:10" ht="13.5" customHeight="1">
      <c r="A600" s="226" t="s">
        <v>1583</v>
      </c>
      <c r="B600" s="408" t="s">
        <v>2886</v>
      </c>
      <c r="C600" s="408"/>
      <c r="D600" s="408"/>
      <c r="E600" s="408"/>
      <c r="F600" s="408"/>
      <c r="G600" s="408"/>
      <c r="H600" s="408"/>
      <c r="I600" s="408"/>
      <c r="J600" s="408"/>
    </row>
    <row r="601" spans="1:10" ht="13.5" customHeight="1">
      <c r="A601" s="226" t="s">
        <v>1584</v>
      </c>
      <c r="B601" s="408" t="s">
        <v>2887</v>
      </c>
      <c r="C601" s="408"/>
      <c r="D601" s="408"/>
      <c r="E601" s="408"/>
      <c r="F601" s="408"/>
      <c r="G601" s="408"/>
      <c r="H601" s="408"/>
      <c r="I601" s="408"/>
      <c r="J601" s="408"/>
    </row>
    <row r="602" spans="1:10" ht="13.5" customHeight="1">
      <c r="A602" s="226" t="s">
        <v>1585</v>
      </c>
      <c r="B602" s="408" t="s">
        <v>2888</v>
      </c>
      <c r="C602" s="408"/>
      <c r="D602" s="408"/>
      <c r="E602" s="408"/>
      <c r="F602" s="408"/>
      <c r="G602" s="408"/>
      <c r="H602" s="408"/>
      <c r="I602" s="408"/>
      <c r="J602" s="408"/>
    </row>
    <row r="603" spans="1:10" ht="13.5" customHeight="1">
      <c r="A603" s="226" t="s">
        <v>1586</v>
      </c>
      <c r="B603" s="408" t="s">
        <v>2889</v>
      </c>
      <c r="C603" s="408"/>
      <c r="D603" s="408"/>
      <c r="E603" s="408"/>
      <c r="F603" s="408"/>
      <c r="G603" s="408"/>
      <c r="H603" s="408"/>
      <c r="I603" s="408"/>
      <c r="J603" s="408"/>
    </row>
    <row r="604" spans="1:10" ht="13.5" customHeight="1">
      <c r="A604" s="226" t="s">
        <v>1587</v>
      </c>
      <c r="B604" s="408" t="s">
        <v>2890</v>
      </c>
      <c r="C604" s="408"/>
      <c r="D604" s="408"/>
      <c r="E604" s="408"/>
      <c r="F604" s="408"/>
      <c r="G604" s="408"/>
      <c r="H604" s="408"/>
      <c r="I604" s="408"/>
      <c r="J604" s="408"/>
    </row>
    <row r="605" spans="1:10" ht="13.5" customHeight="1">
      <c r="A605" s="226" t="s">
        <v>1588</v>
      </c>
      <c r="B605" s="408" t="s">
        <v>2891</v>
      </c>
      <c r="C605" s="408"/>
      <c r="D605" s="408"/>
      <c r="E605" s="408"/>
      <c r="F605" s="408"/>
      <c r="G605" s="408"/>
      <c r="H605" s="408"/>
      <c r="I605" s="408"/>
      <c r="J605" s="408"/>
    </row>
    <row r="606" spans="1:10" ht="13.5" customHeight="1">
      <c r="A606" s="226" t="s">
        <v>1589</v>
      </c>
      <c r="B606" s="408" t="s">
        <v>2892</v>
      </c>
      <c r="C606" s="408"/>
      <c r="D606" s="408"/>
      <c r="E606" s="408"/>
      <c r="F606" s="408"/>
      <c r="G606" s="408"/>
      <c r="H606" s="408"/>
      <c r="I606" s="408"/>
      <c r="J606" s="408"/>
    </row>
    <row r="607" spans="1:10" ht="13.5" customHeight="1">
      <c r="A607" s="226" t="s">
        <v>1590</v>
      </c>
      <c r="B607" s="408" t="s">
        <v>2893</v>
      </c>
      <c r="C607" s="408"/>
      <c r="D607" s="408"/>
      <c r="E607" s="408"/>
      <c r="F607" s="408"/>
      <c r="G607" s="408"/>
      <c r="H607" s="408"/>
      <c r="I607" s="408"/>
      <c r="J607" s="408"/>
    </row>
    <row r="608" spans="1:10" ht="13.5" customHeight="1">
      <c r="A608" s="226" t="s">
        <v>1591</v>
      </c>
      <c r="B608" s="408" t="s">
        <v>2894</v>
      </c>
      <c r="C608" s="408"/>
      <c r="D608" s="408"/>
      <c r="E608" s="408"/>
      <c r="F608" s="408"/>
      <c r="G608" s="408"/>
      <c r="H608" s="408"/>
      <c r="I608" s="408"/>
      <c r="J608" s="408"/>
    </row>
    <row r="609" spans="1:10" ht="13.5" customHeight="1">
      <c r="A609" s="226" t="s">
        <v>1592</v>
      </c>
      <c r="B609" s="408" t="s">
        <v>2895</v>
      </c>
      <c r="C609" s="408"/>
      <c r="D609" s="408"/>
      <c r="E609" s="408"/>
      <c r="F609" s="408"/>
      <c r="G609" s="408"/>
      <c r="H609" s="408"/>
      <c r="I609" s="408"/>
      <c r="J609" s="408"/>
    </row>
    <row r="610" spans="1:10" ht="13.5" customHeight="1">
      <c r="A610" s="226" t="s">
        <v>1593</v>
      </c>
      <c r="B610" s="408" t="s">
        <v>2896</v>
      </c>
      <c r="C610" s="408"/>
      <c r="D610" s="408"/>
      <c r="E610" s="408"/>
      <c r="F610" s="408"/>
      <c r="G610" s="408"/>
      <c r="H610" s="408"/>
      <c r="I610" s="408"/>
      <c r="J610" s="408"/>
    </row>
    <row r="611" spans="1:10" ht="13.5" customHeight="1">
      <c r="A611" s="226" t="s">
        <v>1594</v>
      </c>
      <c r="B611" s="408" t="s">
        <v>2897</v>
      </c>
      <c r="C611" s="408"/>
      <c r="D611" s="408"/>
      <c r="E611" s="408"/>
      <c r="F611" s="408"/>
      <c r="G611" s="408"/>
      <c r="H611" s="408"/>
      <c r="I611" s="408"/>
      <c r="J611" s="408"/>
    </row>
    <row r="612" spans="1:10" ht="13.5" customHeight="1">
      <c r="A612" s="226" t="s">
        <v>1595</v>
      </c>
      <c r="B612" s="408" t="s">
        <v>2898</v>
      </c>
      <c r="C612" s="408"/>
      <c r="D612" s="408"/>
      <c r="E612" s="408"/>
      <c r="F612" s="408"/>
      <c r="G612" s="408"/>
      <c r="H612" s="408"/>
      <c r="I612" s="408"/>
      <c r="J612" s="408"/>
    </row>
    <row r="613" spans="1:10" ht="13.5" customHeight="1">
      <c r="A613" s="226" t="s">
        <v>1596</v>
      </c>
      <c r="B613" s="408" t="s">
        <v>2899</v>
      </c>
      <c r="C613" s="408"/>
      <c r="D613" s="408"/>
      <c r="E613" s="408"/>
      <c r="F613" s="408"/>
      <c r="G613" s="408"/>
      <c r="H613" s="408"/>
      <c r="I613" s="408"/>
      <c r="J613" s="408"/>
    </row>
    <row r="614" spans="1:10" ht="13.5" customHeight="1">
      <c r="A614" s="226" t="s">
        <v>1597</v>
      </c>
      <c r="B614" s="408" t="s">
        <v>2900</v>
      </c>
      <c r="C614" s="408"/>
      <c r="D614" s="408"/>
      <c r="E614" s="408"/>
      <c r="F614" s="408"/>
      <c r="G614" s="408"/>
      <c r="H614" s="408"/>
      <c r="I614" s="408"/>
      <c r="J614" s="408"/>
    </row>
    <row r="615" spans="1:10" ht="13.5" customHeight="1">
      <c r="A615" s="226" t="s">
        <v>1598</v>
      </c>
      <c r="B615" s="408" t="s">
        <v>2901</v>
      </c>
      <c r="C615" s="408"/>
      <c r="D615" s="408"/>
      <c r="E615" s="408"/>
      <c r="F615" s="408"/>
      <c r="G615" s="408"/>
      <c r="H615" s="408"/>
      <c r="I615" s="408"/>
      <c r="J615" s="408"/>
    </row>
    <row r="616" spans="1:10" ht="13.5" customHeight="1">
      <c r="A616" s="226" t="s">
        <v>1599</v>
      </c>
      <c r="B616" s="408" t="s">
        <v>2902</v>
      </c>
      <c r="C616" s="408"/>
      <c r="D616" s="408"/>
      <c r="E616" s="408"/>
      <c r="F616" s="408"/>
      <c r="G616" s="408"/>
      <c r="H616" s="408"/>
      <c r="I616" s="408"/>
      <c r="J616" s="408"/>
    </row>
    <row r="617" spans="1:10" ht="13.5" customHeight="1">
      <c r="A617" s="226" t="s">
        <v>1600</v>
      </c>
      <c r="B617" s="408" t="s">
        <v>2903</v>
      </c>
      <c r="C617" s="408"/>
      <c r="D617" s="408"/>
      <c r="E617" s="408"/>
      <c r="F617" s="408"/>
      <c r="G617" s="408"/>
      <c r="H617" s="408"/>
      <c r="I617" s="408"/>
      <c r="J617" s="408"/>
    </row>
    <row r="618" spans="1:10" ht="13.5" customHeight="1">
      <c r="A618" s="226" t="s">
        <v>1601</v>
      </c>
      <c r="B618" s="408" t="s">
        <v>2904</v>
      </c>
      <c r="C618" s="408"/>
      <c r="D618" s="408"/>
      <c r="E618" s="408"/>
      <c r="F618" s="408"/>
      <c r="G618" s="408"/>
      <c r="H618" s="408"/>
      <c r="I618" s="408"/>
      <c r="J618" s="408"/>
    </row>
    <row r="619" spans="1:10" ht="13.5" customHeight="1">
      <c r="A619" s="226" t="s">
        <v>1602</v>
      </c>
      <c r="B619" s="408" t="s">
        <v>2905</v>
      </c>
      <c r="C619" s="408"/>
      <c r="D619" s="408"/>
      <c r="E619" s="408"/>
      <c r="F619" s="408"/>
      <c r="G619" s="408"/>
      <c r="H619" s="408"/>
      <c r="I619" s="408"/>
      <c r="J619" s="408"/>
    </row>
    <row r="620" spans="1:10" ht="13.5" customHeight="1">
      <c r="A620" s="226" t="s">
        <v>2906</v>
      </c>
      <c r="B620" s="408" t="s">
        <v>2907</v>
      </c>
      <c r="C620" s="408"/>
      <c r="D620" s="408"/>
      <c r="E620" s="408"/>
      <c r="F620" s="408"/>
      <c r="G620" s="408"/>
      <c r="H620" s="408"/>
      <c r="I620" s="408"/>
      <c r="J620" s="408"/>
    </row>
    <row r="621" spans="1:10" ht="13.5" customHeight="1">
      <c r="A621" s="227" t="s">
        <v>2908</v>
      </c>
      <c r="B621" s="409" t="s">
        <v>2909</v>
      </c>
      <c r="C621" s="409"/>
      <c r="D621" s="409"/>
      <c r="E621" s="409"/>
      <c r="F621" s="409"/>
      <c r="G621" s="409"/>
      <c r="H621" s="409"/>
      <c r="I621" s="409"/>
      <c r="J621" s="409"/>
    </row>
    <row r="622" ht="4.5" customHeight="1"/>
  </sheetData>
  <sheetProtection sheet="1" objects="1" scenarios="1"/>
  <mergeCells count="620">
    <mergeCell ref="B620:J620"/>
    <mergeCell ref="B621:J621"/>
    <mergeCell ref="B614:J614"/>
    <mergeCell ref="B615:J615"/>
    <mergeCell ref="B616:J616"/>
    <mergeCell ref="B617:J617"/>
    <mergeCell ref="B618:J618"/>
    <mergeCell ref="B619:J619"/>
    <mergeCell ref="B608:J608"/>
    <mergeCell ref="B609:J609"/>
    <mergeCell ref="B610:J610"/>
    <mergeCell ref="B611:J611"/>
    <mergeCell ref="B612:J612"/>
    <mergeCell ref="B613:J613"/>
    <mergeCell ref="B602:J602"/>
    <mergeCell ref="B603:J603"/>
    <mergeCell ref="B604:J604"/>
    <mergeCell ref="B605:J605"/>
    <mergeCell ref="B606:J606"/>
    <mergeCell ref="B607:J607"/>
    <mergeCell ref="B596:J596"/>
    <mergeCell ref="B597:J597"/>
    <mergeCell ref="B598:J598"/>
    <mergeCell ref="B599:J599"/>
    <mergeCell ref="B600:J600"/>
    <mergeCell ref="B601:J601"/>
    <mergeCell ref="B590:J590"/>
    <mergeCell ref="B591:J591"/>
    <mergeCell ref="B592:J592"/>
    <mergeCell ref="B593:J593"/>
    <mergeCell ref="B594:J594"/>
    <mergeCell ref="B595:J595"/>
    <mergeCell ref="B584:J584"/>
    <mergeCell ref="B585:J585"/>
    <mergeCell ref="B586:J586"/>
    <mergeCell ref="B587:J587"/>
    <mergeCell ref="B588:J588"/>
    <mergeCell ref="B589:J589"/>
    <mergeCell ref="B578:J578"/>
    <mergeCell ref="B579:J579"/>
    <mergeCell ref="B580:J580"/>
    <mergeCell ref="B581:J581"/>
    <mergeCell ref="B582:J582"/>
    <mergeCell ref="B583:J583"/>
    <mergeCell ref="B572:J572"/>
    <mergeCell ref="B573:J573"/>
    <mergeCell ref="B574:J574"/>
    <mergeCell ref="B575:J575"/>
    <mergeCell ref="B576:J576"/>
    <mergeCell ref="B577:J577"/>
    <mergeCell ref="B566:J566"/>
    <mergeCell ref="B567:J567"/>
    <mergeCell ref="B568:J568"/>
    <mergeCell ref="B569:J569"/>
    <mergeCell ref="B570:J570"/>
    <mergeCell ref="B571:J571"/>
    <mergeCell ref="B560:J560"/>
    <mergeCell ref="B561:J561"/>
    <mergeCell ref="B562:J562"/>
    <mergeCell ref="B563:J563"/>
    <mergeCell ref="B564:J564"/>
    <mergeCell ref="B565:J565"/>
    <mergeCell ref="B554:J554"/>
    <mergeCell ref="B555:J555"/>
    <mergeCell ref="B556:J556"/>
    <mergeCell ref="B557:J557"/>
    <mergeCell ref="B558:J558"/>
    <mergeCell ref="B559:J559"/>
    <mergeCell ref="B548:J548"/>
    <mergeCell ref="B549:J549"/>
    <mergeCell ref="B550:J550"/>
    <mergeCell ref="B551:J551"/>
    <mergeCell ref="B552:J552"/>
    <mergeCell ref="B553:J553"/>
    <mergeCell ref="B542:J542"/>
    <mergeCell ref="B543:J543"/>
    <mergeCell ref="B544:J544"/>
    <mergeCell ref="B545:J545"/>
    <mergeCell ref="B546:J546"/>
    <mergeCell ref="B547:J547"/>
    <mergeCell ref="B536:J536"/>
    <mergeCell ref="B537:J537"/>
    <mergeCell ref="B538:J538"/>
    <mergeCell ref="B539:J539"/>
    <mergeCell ref="B540:J540"/>
    <mergeCell ref="B541:J541"/>
    <mergeCell ref="B530:J530"/>
    <mergeCell ref="B531:J531"/>
    <mergeCell ref="B532:J532"/>
    <mergeCell ref="B533:J533"/>
    <mergeCell ref="B534:J534"/>
    <mergeCell ref="B535:J535"/>
    <mergeCell ref="B524:J524"/>
    <mergeCell ref="B525:J525"/>
    <mergeCell ref="B526:J526"/>
    <mergeCell ref="B527:J527"/>
    <mergeCell ref="B528:J528"/>
    <mergeCell ref="B529:J529"/>
    <mergeCell ref="B518:J518"/>
    <mergeCell ref="B519:J519"/>
    <mergeCell ref="B520:J520"/>
    <mergeCell ref="B521:J521"/>
    <mergeCell ref="B522:J522"/>
    <mergeCell ref="B523:J523"/>
    <mergeCell ref="B512:J512"/>
    <mergeCell ref="B513:J513"/>
    <mergeCell ref="B514:J514"/>
    <mergeCell ref="B515:J515"/>
    <mergeCell ref="B516:J516"/>
    <mergeCell ref="B517:J517"/>
    <mergeCell ref="B506:J506"/>
    <mergeCell ref="B507:J507"/>
    <mergeCell ref="B508:J508"/>
    <mergeCell ref="B509:J509"/>
    <mergeCell ref="B510:J510"/>
    <mergeCell ref="B511:J511"/>
    <mergeCell ref="B500:J500"/>
    <mergeCell ref="B501:J501"/>
    <mergeCell ref="B502:J502"/>
    <mergeCell ref="B503:J503"/>
    <mergeCell ref="B504:J504"/>
    <mergeCell ref="B505:J505"/>
    <mergeCell ref="B494:J494"/>
    <mergeCell ref="B495:J495"/>
    <mergeCell ref="B496:J496"/>
    <mergeCell ref="B497:J497"/>
    <mergeCell ref="B498:J498"/>
    <mergeCell ref="B499:J499"/>
    <mergeCell ref="B488:J488"/>
    <mergeCell ref="B489:J489"/>
    <mergeCell ref="B490:J490"/>
    <mergeCell ref="B491:J491"/>
    <mergeCell ref="B492:J492"/>
    <mergeCell ref="B493:J493"/>
    <mergeCell ref="B482:J482"/>
    <mergeCell ref="B483:J483"/>
    <mergeCell ref="B484:J484"/>
    <mergeCell ref="B485:J485"/>
    <mergeCell ref="B486:J486"/>
    <mergeCell ref="B487:J487"/>
    <mergeCell ref="B476:J476"/>
    <mergeCell ref="B477:J477"/>
    <mergeCell ref="B478:J478"/>
    <mergeCell ref="B479:J479"/>
    <mergeCell ref="B480:J480"/>
    <mergeCell ref="B481:J481"/>
    <mergeCell ref="B470:J470"/>
    <mergeCell ref="B471:J471"/>
    <mergeCell ref="B472:J472"/>
    <mergeCell ref="B473:J473"/>
    <mergeCell ref="B474:J474"/>
    <mergeCell ref="B475:J475"/>
    <mergeCell ref="B464:J464"/>
    <mergeCell ref="B465:J465"/>
    <mergeCell ref="B466:J466"/>
    <mergeCell ref="B467:J467"/>
    <mergeCell ref="B468:J468"/>
    <mergeCell ref="B469:J469"/>
    <mergeCell ref="B458:J458"/>
    <mergeCell ref="B459:J459"/>
    <mergeCell ref="B460:J460"/>
    <mergeCell ref="B461:J461"/>
    <mergeCell ref="B462:J462"/>
    <mergeCell ref="B463:J463"/>
    <mergeCell ref="B452:J452"/>
    <mergeCell ref="B453:J453"/>
    <mergeCell ref="B454:J454"/>
    <mergeCell ref="B455:J455"/>
    <mergeCell ref="B456:J456"/>
    <mergeCell ref="B457:J457"/>
    <mergeCell ref="B446:J446"/>
    <mergeCell ref="B447:J447"/>
    <mergeCell ref="B448:J448"/>
    <mergeCell ref="B449:J449"/>
    <mergeCell ref="B450:J450"/>
    <mergeCell ref="B451:J451"/>
    <mergeCell ref="B440:J440"/>
    <mergeCell ref="B441:J441"/>
    <mergeCell ref="B442:J442"/>
    <mergeCell ref="B443:J443"/>
    <mergeCell ref="B444:J444"/>
    <mergeCell ref="B445:J445"/>
    <mergeCell ref="B434:J434"/>
    <mergeCell ref="B435:J435"/>
    <mergeCell ref="B436:J436"/>
    <mergeCell ref="B437:J437"/>
    <mergeCell ref="B438:J438"/>
    <mergeCell ref="B439:J439"/>
    <mergeCell ref="B428:J428"/>
    <mergeCell ref="B429:J429"/>
    <mergeCell ref="B430:J430"/>
    <mergeCell ref="B431:J431"/>
    <mergeCell ref="B432:J432"/>
    <mergeCell ref="B433:J433"/>
    <mergeCell ref="B422:J422"/>
    <mergeCell ref="B423:J423"/>
    <mergeCell ref="B424:J424"/>
    <mergeCell ref="B425:J425"/>
    <mergeCell ref="B426:J426"/>
    <mergeCell ref="B427:J427"/>
    <mergeCell ref="B416:J416"/>
    <mergeCell ref="B417:J417"/>
    <mergeCell ref="B418:J418"/>
    <mergeCell ref="B419:J419"/>
    <mergeCell ref="B420:J420"/>
    <mergeCell ref="B421:J421"/>
    <mergeCell ref="B410:J410"/>
    <mergeCell ref="B411:J411"/>
    <mergeCell ref="B412:J412"/>
    <mergeCell ref="B413:J413"/>
    <mergeCell ref="B414:J414"/>
    <mergeCell ref="B415:J415"/>
    <mergeCell ref="B404:J404"/>
    <mergeCell ref="B405:J405"/>
    <mergeCell ref="B406:J406"/>
    <mergeCell ref="B407:J407"/>
    <mergeCell ref="B408:J408"/>
    <mergeCell ref="B409:J409"/>
    <mergeCell ref="B398:J398"/>
    <mergeCell ref="B399:J399"/>
    <mergeCell ref="B400:J400"/>
    <mergeCell ref="B401:J401"/>
    <mergeCell ref="B402:J402"/>
    <mergeCell ref="B403:J403"/>
    <mergeCell ref="B392:J392"/>
    <mergeCell ref="B393:J393"/>
    <mergeCell ref="B394:J394"/>
    <mergeCell ref="B395:J395"/>
    <mergeCell ref="B396:J396"/>
    <mergeCell ref="B397:J397"/>
    <mergeCell ref="B386:J386"/>
    <mergeCell ref="B387:J387"/>
    <mergeCell ref="B388:J388"/>
    <mergeCell ref="B389:J389"/>
    <mergeCell ref="B390:J390"/>
    <mergeCell ref="B391:J391"/>
    <mergeCell ref="B380:J380"/>
    <mergeCell ref="B381:J381"/>
    <mergeCell ref="B382:J382"/>
    <mergeCell ref="B383:J383"/>
    <mergeCell ref="B384:J384"/>
    <mergeCell ref="B385:J385"/>
    <mergeCell ref="B374:J374"/>
    <mergeCell ref="B375:J375"/>
    <mergeCell ref="B376:J376"/>
    <mergeCell ref="B377:J377"/>
    <mergeCell ref="B378:J378"/>
    <mergeCell ref="B379:J379"/>
    <mergeCell ref="B368:J368"/>
    <mergeCell ref="B369:J369"/>
    <mergeCell ref="B370:J370"/>
    <mergeCell ref="B371:J371"/>
    <mergeCell ref="B372:J372"/>
    <mergeCell ref="B373:J373"/>
    <mergeCell ref="B362:J362"/>
    <mergeCell ref="B363:J363"/>
    <mergeCell ref="B364:J364"/>
    <mergeCell ref="B365:J365"/>
    <mergeCell ref="B366:J366"/>
    <mergeCell ref="B367:J367"/>
    <mergeCell ref="B356:J356"/>
    <mergeCell ref="B357:J357"/>
    <mergeCell ref="B358:J358"/>
    <mergeCell ref="B359:J359"/>
    <mergeCell ref="B360:J360"/>
    <mergeCell ref="B361:J361"/>
    <mergeCell ref="B350:J350"/>
    <mergeCell ref="B351:J351"/>
    <mergeCell ref="B352:J352"/>
    <mergeCell ref="B353:J353"/>
    <mergeCell ref="B354:J354"/>
    <mergeCell ref="B355:J355"/>
    <mergeCell ref="B344:J344"/>
    <mergeCell ref="B345:J345"/>
    <mergeCell ref="B346:J346"/>
    <mergeCell ref="B347:J347"/>
    <mergeCell ref="B348:J348"/>
    <mergeCell ref="B349:J349"/>
    <mergeCell ref="B338:J338"/>
    <mergeCell ref="B339:J339"/>
    <mergeCell ref="B340:J340"/>
    <mergeCell ref="B341:J341"/>
    <mergeCell ref="B342:J342"/>
    <mergeCell ref="B343:J343"/>
    <mergeCell ref="B332:J332"/>
    <mergeCell ref="B333:J333"/>
    <mergeCell ref="B334:J334"/>
    <mergeCell ref="B335:J335"/>
    <mergeCell ref="B336:J336"/>
    <mergeCell ref="B337:J337"/>
    <mergeCell ref="B326:J326"/>
    <mergeCell ref="B327:J327"/>
    <mergeCell ref="B328:J328"/>
    <mergeCell ref="B329:J329"/>
    <mergeCell ref="B330:J330"/>
    <mergeCell ref="B331:J331"/>
    <mergeCell ref="B320:J320"/>
    <mergeCell ref="B321:J321"/>
    <mergeCell ref="B322:J322"/>
    <mergeCell ref="B323:J323"/>
    <mergeCell ref="B324:J324"/>
    <mergeCell ref="B325:J325"/>
    <mergeCell ref="B314:J314"/>
    <mergeCell ref="B315:J315"/>
    <mergeCell ref="B316:J316"/>
    <mergeCell ref="B317:J317"/>
    <mergeCell ref="B318:J318"/>
    <mergeCell ref="B319:J319"/>
    <mergeCell ref="B308:J308"/>
    <mergeCell ref="B309:J309"/>
    <mergeCell ref="B310:J310"/>
    <mergeCell ref="B311:J311"/>
    <mergeCell ref="B312:J312"/>
    <mergeCell ref="B313:J313"/>
    <mergeCell ref="B302:J302"/>
    <mergeCell ref="B303:J303"/>
    <mergeCell ref="B304:J304"/>
    <mergeCell ref="B305:J305"/>
    <mergeCell ref="B306:J306"/>
    <mergeCell ref="B307:J307"/>
    <mergeCell ref="B296:J296"/>
    <mergeCell ref="B297:J297"/>
    <mergeCell ref="B298:J298"/>
    <mergeCell ref="B299:J299"/>
    <mergeCell ref="B300:J300"/>
    <mergeCell ref="B301:J301"/>
    <mergeCell ref="B290:J290"/>
    <mergeCell ref="B291:J291"/>
    <mergeCell ref="B292:J292"/>
    <mergeCell ref="B293:J293"/>
    <mergeCell ref="B294:J294"/>
    <mergeCell ref="B295:J295"/>
    <mergeCell ref="B284:J284"/>
    <mergeCell ref="B285:J285"/>
    <mergeCell ref="B286:J286"/>
    <mergeCell ref="B287:J287"/>
    <mergeCell ref="B288:J288"/>
    <mergeCell ref="B289:J289"/>
    <mergeCell ref="B278:J278"/>
    <mergeCell ref="B279:J279"/>
    <mergeCell ref="B280:J280"/>
    <mergeCell ref="B281:J281"/>
    <mergeCell ref="B282:J282"/>
    <mergeCell ref="B283:J283"/>
    <mergeCell ref="B272:J272"/>
    <mergeCell ref="B273:J273"/>
    <mergeCell ref="B274:J274"/>
    <mergeCell ref="B275:J275"/>
    <mergeCell ref="B276:J276"/>
    <mergeCell ref="B277:J277"/>
    <mergeCell ref="B266:J266"/>
    <mergeCell ref="B267:J267"/>
    <mergeCell ref="B268:J268"/>
    <mergeCell ref="B269:J269"/>
    <mergeCell ref="B270:J270"/>
    <mergeCell ref="B271:J271"/>
    <mergeCell ref="B260:J260"/>
    <mergeCell ref="B261:J261"/>
    <mergeCell ref="B262:J262"/>
    <mergeCell ref="B263:J263"/>
    <mergeCell ref="B264:J264"/>
    <mergeCell ref="B265:J265"/>
    <mergeCell ref="B254:J254"/>
    <mergeCell ref="B255:J255"/>
    <mergeCell ref="B256:J256"/>
    <mergeCell ref="B257:J257"/>
    <mergeCell ref="B258:J258"/>
    <mergeCell ref="B259:J259"/>
    <mergeCell ref="B248:J248"/>
    <mergeCell ref="B249:J249"/>
    <mergeCell ref="B250:J250"/>
    <mergeCell ref="B251:J251"/>
    <mergeCell ref="B252:J252"/>
    <mergeCell ref="B253:J253"/>
    <mergeCell ref="B242:J242"/>
    <mergeCell ref="B243:J243"/>
    <mergeCell ref="B244:J244"/>
    <mergeCell ref="B245:J245"/>
    <mergeCell ref="B246:J246"/>
    <mergeCell ref="B247:J247"/>
    <mergeCell ref="B236:J236"/>
    <mergeCell ref="B237:J237"/>
    <mergeCell ref="B238:J238"/>
    <mergeCell ref="B239:J239"/>
    <mergeCell ref="B240:J240"/>
    <mergeCell ref="B241:J241"/>
    <mergeCell ref="B230:J230"/>
    <mergeCell ref="B231:J231"/>
    <mergeCell ref="B232:J232"/>
    <mergeCell ref="B233:J233"/>
    <mergeCell ref="B234:J234"/>
    <mergeCell ref="B235:J235"/>
    <mergeCell ref="B224:J224"/>
    <mergeCell ref="B225:J225"/>
    <mergeCell ref="B226:J226"/>
    <mergeCell ref="B227:J227"/>
    <mergeCell ref="B228:J228"/>
    <mergeCell ref="B229:J229"/>
    <mergeCell ref="B218:J218"/>
    <mergeCell ref="B219:J219"/>
    <mergeCell ref="B220:J220"/>
    <mergeCell ref="B221:J221"/>
    <mergeCell ref="B222:J222"/>
    <mergeCell ref="B223:J223"/>
    <mergeCell ref="B212:J212"/>
    <mergeCell ref="B213:J213"/>
    <mergeCell ref="B214:J214"/>
    <mergeCell ref="B215:J215"/>
    <mergeCell ref="B216:J216"/>
    <mergeCell ref="B217:J217"/>
    <mergeCell ref="B206:J206"/>
    <mergeCell ref="B207:J207"/>
    <mergeCell ref="B208:J208"/>
    <mergeCell ref="B209:J209"/>
    <mergeCell ref="B210:J210"/>
    <mergeCell ref="B211:J211"/>
    <mergeCell ref="B200:J200"/>
    <mergeCell ref="B201:J201"/>
    <mergeCell ref="B202:J202"/>
    <mergeCell ref="B203:J203"/>
    <mergeCell ref="B204:J204"/>
    <mergeCell ref="B205:J205"/>
    <mergeCell ref="B194:J194"/>
    <mergeCell ref="B195:J195"/>
    <mergeCell ref="B196:J196"/>
    <mergeCell ref="B197:J197"/>
    <mergeCell ref="B198:J198"/>
    <mergeCell ref="B199:J199"/>
    <mergeCell ref="B188:J188"/>
    <mergeCell ref="B189:J189"/>
    <mergeCell ref="B190:J190"/>
    <mergeCell ref="B191:J191"/>
    <mergeCell ref="B192:J192"/>
    <mergeCell ref="B193:J193"/>
    <mergeCell ref="B182:J182"/>
    <mergeCell ref="B183:J183"/>
    <mergeCell ref="B184:J184"/>
    <mergeCell ref="B185:J185"/>
    <mergeCell ref="B186:J186"/>
    <mergeCell ref="B187:J187"/>
    <mergeCell ref="B176:J176"/>
    <mergeCell ref="B177:J177"/>
    <mergeCell ref="B178:J178"/>
    <mergeCell ref="B179:J179"/>
    <mergeCell ref="B180:J180"/>
    <mergeCell ref="B181:J181"/>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V190"/>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 width="8.7109375" style="228" customWidth="1"/>
    <col min="2" max="3" width="10.7109375" style="228" customWidth="1"/>
    <col min="4" max="5" width="8.7109375" style="228" customWidth="1"/>
    <col min="6" max="7" width="10.7109375" style="228" customWidth="1"/>
    <col min="8" max="9" width="8.7109375" style="228" customWidth="1"/>
    <col min="10" max="10" width="20.7109375" style="228" customWidth="1"/>
    <col min="11" max="11" width="0.85546875" style="228" customWidth="1"/>
    <col min="12" max="16384" width="0" style="228" hidden="1" customWidth="1"/>
  </cols>
  <sheetData>
    <row r="1" spans="1:256" ht="19.5" customHeight="1">
      <c r="A1" s="258" t="s">
        <v>97</v>
      </c>
      <c r="B1" s="258"/>
      <c r="C1" s="29" t="s">
        <v>98</v>
      </c>
      <c r="D1" s="30" t="s">
        <v>99</v>
      </c>
      <c r="E1" s="30" t="s">
        <v>93</v>
      </c>
      <c r="F1" s="31" t="s">
        <v>100</v>
      </c>
      <c r="G1" s="30" t="s">
        <v>101</v>
      </c>
      <c r="H1" s="31" t="s">
        <v>102</v>
      </c>
      <c r="I1" s="30" t="s">
        <v>104</v>
      </c>
      <c r="J1" s="3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72" customFormat="1" ht="19.5" customHeight="1">
      <c r="A2" s="258"/>
      <c r="B2" s="258"/>
      <c r="C2" s="33" t="s">
        <v>105</v>
      </c>
      <c r="D2" s="34" t="s">
        <v>106</v>
      </c>
      <c r="E2" s="34" t="s">
        <v>107</v>
      </c>
      <c r="F2" s="34" t="s">
        <v>108</v>
      </c>
      <c r="G2" s="34" t="s">
        <v>109</v>
      </c>
      <c r="H2" s="34" t="s">
        <v>110</v>
      </c>
      <c r="I2" s="35" t="s">
        <v>111</v>
      </c>
      <c r="J2" s="36"/>
    </row>
    <row r="3" spans="1:10" s="72" customFormat="1" ht="38.25" customHeight="1">
      <c r="A3" s="410" t="s">
        <v>2910</v>
      </c>
      <c r="B3" s="410"/>
      <c r="C3" s="410"/>
      <c r="D3" s="410"/>
      <c r="E3" s="410"/>
      <c r="F3" s="410"/>
      <c r="G3" s="410"/>
      <c r="H3" s="410"/>
      <c r="I3" s="410"/>
      <c r="J3" s="410"/>
    </row>
    <row r="4" spans="1:10" ht="25.5" customHeight="1">
      <c r="A4" s="229" t="s">
        <v>2289</v>
      </c>
      <c r="B4" s="411" t="s">
        <v>2911</v>
      </c>
      <c r="C4" s="411"/>
      <c r="E4" s="229" t="s">
        <v>2289</v>
      </c>
      <c r="F4" s="411" t="s">
        <v>2911</v>
      </c>
      <c r="G4" s="411"/>
      <c r="I4" s="229" t="s">
        <v>2289</v>
      </c>
      <c r="J4" s="230" t="s">
        <v>2911</v>
      </c>
    </row>
    <row r="5" spans="1:10" ht="13.5" customHeight="1">
      <c r="A5" s="231">
        <v>1</v>
      </c>
      <c r="B5" s="412" t="s">
        <v>327</v>
      </c>
      <c r="C5" s="412"/>
      <c r="E5" s="231">
        <v>185</v>
      </c>
      <c r="F5" s="412" t="s">
        <v>761</v>
      </c>
      <c r="G5" s="412"/>
      <c r="I5" s="231">
        <v>88</v>
      </c>
      <c r="J5" s="232" t="s">
        <v>593</v>
      </c>
    </row>
    <row r="6" spans="1:10" ht="13.5" customHeight="1">
      <c r="A6" s="233">
        <v>2</v>
      </c>
      <c r="B6" s="413" t="s">
        <v>332</v>
      </c>
      <c r="C6" s="413"/>
      <c r="E6" s="233">
        <v>186</v>
      </c>
      <c r="F6" s="413" t="s">
        <v>763</v>
      </c>
      <c r="G6" s="413"/>
      <c r="I6" s="233">
        <v>298</v>
      </c>
      <c r="J6" s="234" t="s">
        <v>957</v>
      </c>
    </row>
    <row r="7" spans="1:10" ht="13.5" customHeight="1">
      <c r="A7" s="233">
        <v>3</v>
      </c>
      <c r="B7" s="413" t="s">
        <v>339</v>
      </c>
      <c r="C7" s="413"/>
      <c r="E7" s="233">
        <v>187</v>
      </c>
      <c r="F7" s="413" t="s">
        <v>765</v>
      </c>
      <c r="G7" s="413"/>
      <c r="I7" s="233">
        <v>358</v>
      </c>
      <c r="J7" s="234" t="s">
        <v>1066</v>
      </c>
    </row>
    <row r="8" spans="1:10" ht="13.5" customHeight="1">
      <c r="A8" s="233">
        <v>4</v>
      </c>
      <c r="B8" s="413" t="s">
        <v>344</v>
      </c>
      <c r="C8" s="413"/>
      <c r="E8" s="233">
        <v>189</v>
      </c>
      <c r="F8" s="413" t="s">
        <v>767</v>
      </c>
      <c r="G8" s="413"/>
      <c r="I8" s="233">
        <v>359</v>
      </c>
      <c r="J8" s="234" t="s">
        <v>1068</v>
      </c>
    </row>
    <row r="9" spans="1:10" ht="13.5" customHeight="1">
      <c r="A9" s="233">
        <v>5</v>
      </c>
      <c r="B9" s="413" t="s">
        <v>351</v>
      </c>
      <c r="C9" s="413"/>
      <c r="E9" s="233">
        <v>190</v>
      </c>
      <c r="F9" s="413" t="s">
        <v>769</v>
      </c>
      <c r="G9" s="413"/>
      <c r="I9" s="233">
        <v>360</v>
      </c>
      <c r="J9" s="234" t="s">
        <v>1070</v>
      </c>
    </row>
    <row r="10" spans="1:10" ht="13.5" customHeight="1">
      <c r="A10" s="233">
        <v>6</v>
      </c>
      <c r="B10" s="413" t="s">
        <v>356</v>
      </c>
      <c r="C10" s="413"/>
      <c r="E10" s="233">
        <v>192</v>
      </c>
      <c r="F10" s="413" t="s">
        <v>771</v>
      </c>
      <c r="G10" s="413"/>
      <c r="I10" s="233">
        <v>361</v>
      </c>
      <c r="J10" s="234" t="s">
        <v>1072</v>
      </c>
    </row>
    <row r="11" spans="1:10" ht="13.5" customHeight="1">
      <c r="A11" s="233">
        <v>7</v>
      </c>
      <c r="B11" s="413" t="s">
        <v>362</v>
      </c>
      <c r="C11" s="413"/>
      <c r="E11" s="233">
        <v>193</v>
      </c>
      <c r="F11" s="413" t="s">
        <v>773</v>
      </c>
      <c r="G11" s="413"/>
      <c r="I11" s="233">
        <v>362</v>
      </c>
      <c r="J11" s="234" t="s">
        <v>1074</v>
      </c>
    </row>
    <row r="12" spans="1:10" ht="13.5" customHeight="1">
      <c r="A12" s="233">
        <v>8</v>
      </c>
      <c r="B12" s="413" t="s">
        <v>367</v>
      </c>
      <c r="C12" s="413"/>
      <c r="E12" s="233">
        <v>194</v>
      </c>
      <c r="F12" s="413" t="s">
        <v>775</v>
      </c>
      <c r="G12" s="413"/>
      <c r="I12" s="233">
        <v>363</v>
      </c>
      <c r="J12" s="234" t="s">
        <v>1076</v>
      </c>
    </row>
    <row r="13" spans="1:10" ht="13.5" customHeight="1">
      <c r="A13" s="233">
        <v>9</v>
      </c>
      <c r="B13" s="413" t="s">
        <v>374</v>
      </c>
      <c r="C13" s="413"/>
      <c r="E13" s="233">
        <v>195</v>
      </c>
      <c r="F13" s="413" t="s">
        <v>777</v>
      </c>
      <c r="G13" s="413"/>
      <c r="I13" s="233">
        <v>364</v>
      </c>
      <c r="J13" s="234" t="s">
        <v>1078</v>
      </c>
    </row>
    <row r="14" spans="1:10" ht="13.5" customHeight="1">
      <c r="A14" s="233">
        <v>10</v>
      </c>
      <c r="B14" s="413" t="s">
        <v>378</v>
      </c>
      <c r="C14" s="413"/>
      <c r="E14" s="233">
        <v>196</v>
      </c>
      <c r="F14" s="413" t="s">
        <v>779</v>
      </c>
      <c r="G14" s="413"/>
      <c r="I14" s="233">
        <v>536</v>
      </c>
      <c r="J14" s="234" t="s">
        <v>1374</v>
      </c>
    </row>
    <row r="15" spans="1:10" ht="13.5" customHeight="1">
      <c r="A15" s="233">
        <v>11</v>
      </c>
      <c r="B15" s="413" t="s">
        <v>384</v>
      </c>
      <c r="C15" s="413"/>
      <c r="E15" s="233">
        <v>622</v>
      </c>
      <c r="F15" s="413" t="s">
        <v>1528</v>
      </c>
      <c r="G15" s="413"/>
      <c r="I15" s="233">
        <v>365</v>
      </c>
      <c r="J15" s="234" t="s">
        <v>1080</v>
      </c>
    </row>
    <row r="16" spans="1:10" ht="13.5" customHeight="1">
      <c r="A16" s="233">
        <v>550</v>
      </c>
      <c r="B16" s="413" t="s">
        <v>1399</v>
      </c>
      <c r="C16" s="413"/>
      <c r="E16" s="233">
        <v>197</v>
      </c>
      <c r="F16" s="413" t="s">
        <v>781</v>
      </c>
      <c r="G16" s="413"/>
      <c r="I16" s="233">
        <v>366</v>
      </c>
      <c r="J16" s="234" t="s">
        <v>1082</v>
      </c>
    </row>
    <row r="17" spans="1:10" ht="13.5" customHeight="1">
      <c r="A17" s="233">
        <v>12</v>
      </c>
      <c r="B17" s="413" t="s">
        <v>388</v>
      </c>
      <c r="C17" s="413"/>
      <c r="E17" s="233">
        <v>198</v>
      </c>
      <c r="F17" s="413" t="s">
        <v>783</v>
      </c>
      <c r="G17" s="413"/>
      <c r="I17" s="233">
        <v>368</v>
      </c>
      <c r="J17" s="234" t="s">
        <v>1084</v>
      </c>
    </row>
    <row r="18" spans="1:10" ht="13.5" customHeight="1">
      <c r="A18" s="233">
        <v>13</v>
      </c>
      <c r="B18" s="413" t="s">
        <v>395</v>
      </c>
      <c r="C18" s="413"/>
      <c r="E18" s="233">
        <v>199</v>
      </c>
      <c r="F18" s="413" t="s">
        <v>785</v>
      </c>
      <c r="G18" s="413"/>
      <c r="I18" s="233">
        <v>369</v>
      </c>
      <c r="J18" s="234" t="s">
        <v>1086</v>
      </c>
    </row>
    <row r="19" spans="1:10" ht="13.5" customHeight="1">
      <c r="A19" s="233">
        <v>15</v>
      </c>
      <c r="B19" s="413" t="s">
        <v>399</v>
      </c>
      <c r="C19" s="413"/>
      <c r="E19" s="233">
        <v>200</v>
      </c>
      <c r="F19" s="413" t="s">
        <v>787</v>
      </c>
      <c r="G19" s="413"/>
      <c r="I19" s="233">
        <v>371</v>
      </c>
      <c r="J19" s="234" t="s">
        <v>1088</v>
      </c>
    </row>
    <row r="20" spans="1:10" ht="13.5" customHeight="1">
      <c r="A20" s="233">
        <v>16</v>
      </c>
      <c r="B20" s="413" t="s">
        <v>407</v>
      </c>
      <c r="C20" s="413"/>
      <c r="E20" s="233">
        <v>201</v>
      </c>
      <c r="F20" s="413" t="s">
        <v>789</v>
      </c>
      <c r="G20" s="413"/>
      <c r="I20" s="233">
        <v>372</v>
      </c>
      <c r="J20" s="234" t="s">
        <v>1090</v>
      </c>
    </row>
    <row r="21" spans="1:10" ht="13.5" customHeight="1">
      <c r="A21" s="233">
        <v>17</v>
      </c>
      <c r="B21" s="413" t="s">
        <v>411</v>
      </c>
      <c r="C21" s="413"/>
      <c r="E21" s="233">
        <v>202</v>
      </c>
      <c r="F21" s="413" t="s">
        <v>791</v>
      </c>
      <c r="G21" s="413"/>
      <c r="I21" s="233">
        <v>556</v>
      </c>
      <c r="J21" s="234" t="s">
        <v>1411</v>
      </c>
    </row>
    <row r="22" spans="1:10" ht="13.5" customHeight="1">
      <c r="A22" s="233">
        <v>18</v>
      </c>
      <c r="B22" s="413" t="s">
        <v>417</v>
      </c>
      <c r="C22" s="413"/>
      <c r="E22" s="233">
        <v>203</v>
      </c>
      <c r="F22" s="413" t="s">
        <v>793</v>
      </c>
      <c r="G22" s="413"/>
      <c r="I22" s="233">
        <v>373</v>
      </c>
      <c r="J22" s="234" t="s">
        <v>1092</v>
      </c>
    </row>
    <row r="23" spans="1:10" ht="13.5" customHeight="1">
      <c r="A23" s="233">
        <v>19</v>
      </c>
      <c r="B23" s="413" t="s">
        <v>421</v>
      </c>
      <c r="C23" s="413"/>
      <c r="E23" s="233">
        <v>204</v>
      </c>
      <c r="F23" s="413" t="s">
        <v>795</v>
      </c>
      <c r="G23" s="413"/>
      <c r="I23" s="233">
        <v>582</v>
      </c>
      <c r="J23" s="234" t="s">
        <v>1457</v>
      </c>
    </row>
    <row r="24" spans="1:10" ht="13.5" customHeight="1">
      <c r="A24" s="233">
        <v>20</v>
      </c>
      <c r="B24" s="413" t="s">
        <v>426</v>
      </c>
      <c r="C24" s="413"/>
      <c r="E24" s="233">
        <v>538</v>
      </c>
      <c r="F24" s="413" t="s">
        <v>1377</v>
      </c>
      <c r="G24" s="413"/>
      <c r="I24" s="233">
        <v>374</v>
      </c>
      <c r="J24" s="234" t="s">
        <v>1094</v>
      </c>
    </row>
    <row r="25" spans="1:10" ht="13.5" customHeight="1">
      <c r="A25" s="233">
        <v>621</v>
      </c>
      <c r="B25" s="413" t="s">
        <v>1526</v>
      </c>
      <c r="C25" s="413"/>
      <c r="E25" s="233">
        <v>205</v>
      </c>
      <c r="F25" s="413" t="s">
        <v>797</v>
      </c>
      <c r="G25" s="413"/>
      <c r="I25" s="233">
        <v>375</v>
      </c>
      <c r="J25" s="234" t="s">
        <v>1096</v>
      </c>
    </row>
    <row r="26" spans="1:10" ht="13.5" customHeight="1">
      <c r="A26" s="233">
        <v>21</v>
      </c>
      <c r="B26" s="413" t="s">
        <v>429</v>
      </c>
      <c r="C26" s="413"/>
      <c r="E26" s="233">
        <v>206</v>
      </c>
      <c r="F26" s="413" t="s">
        <v>799</v>
      </c>
      <c r="G26" s="413"/>
      <c r="I26" s="233">
        <v>376</v>
      </c>
      <c r="J26" s="234" t="s">
        <v>1098</v>
      </c>
    </row>
    <row r="27" spans="1:10" ht="13.5" customHeight="1">
      <c r="A27" s="233">
        <v>22</v>
      </c>
      <c r="B27" s="413" t="s">
        <v>434</v>
      </c>
      <c r="C27" s="413"/>
      <c r="E27" s="233">
        <v>208</v>
      </c>
      <c r="F27" s="413" t="s">
        <v>801</v>
      </c>
      <c r="G27" s="413"/>
      <c r="I27" s="233">
        <v>591</v>
      </c>
      <c r="J27" s="234" t="s">
        <v>1474</v>
      </c>
    </row>
    <row r="28" spans="1:10" ht="13.5" customHeight="1">
      <c r="A28" s="233">
        <v>310</v>
      </c>
      <c r="B28" s="413" t="s">
        <v>979</v>
      </c>
      <c r="C28" s="413"/>
      <c r="E28" s="233">
        <v>209</v>
      </c>
      <c r="F28" s="413" t="s">
        <v>803</v>
      </c>
      <c r="G28" s="413"/>
      <c r="I28" s="233">
        <v>377</v>
      </c>
      <c r="J28" s="234" t="s">
        <v>1100</v>
      </c>
    </row>
    <row r="29" spans="1:10" ht="13.5" customHeight="1">
      <c r="A29" s="233">
        <v>547</v>
      </c>
      <c r="B29" s="413" t="s">
        <v>1393</v>
      </c>
      <c r="C29" s="413"/>
      <c r="E29" s="233">
        <v>211</v>
      </c>
      <c r="F29" s="413" t="s">
        <v>805</v>
      </c>
      <c r="G29" s="413"/>
      <c r="I29" s="233">
        <v>378</v>
      </c>
      <c r="J29" s="234" t="s">
        <v>1102</v>
      </c>
    </row>
    <row r="30" spans="1:10" ht="13.5" customHeight="1">
      <c r="A30" s="233">
        <v>23</v>
      </c>
      <c r="B30" s="413" t="s">
        <v>437</v>
      </c>
      <c r="C30" s="413"/>
      <c r="E30" s="233">
        <v>212</v>
      </c>
      <c r="F30" s="413" t="s">
        <v>807</v>
      </c>
      <c r="G30" s="413"/>
      <c r="I30" s="233">
        <v>379</v>
      </c>
      <c r="J30" s="234" t="s">
        <v>1104</v>
      </c>
    </row>
    <row r="31" spans="1:10" ht="13.5" customHeight="1">
      <c r="A31" s="233">
        <v>24</v>
      </c>
      <c r="B31" s="413" t="s">
        <v>441</v>
      </c>
      <c r="C31" s="413"/>
      <c r="E31" s="233">
        <v>533</v>
      </c>
      <c r="F31" s="413" t="s">
        <v>1368</v>
      </c>
      <c r="G31" s="413"/>
      <c r="I31" s="233">
        <v>380</v>
      </c>
      <c r="J31" s="234" t="s">
        <v>1106</v>
      </c>
    </row>
    <row r="32" spans="1:10" ht="13.5" customHeight="1">
      <c r="A32" s="233">
        <v>25</v>
      </c>
      <c r="B32" s="413" t="s">
        <v>447</v>
      </c>
      <c r="C32" s="413"/>
      <c r="E32" s="233">
        <v>545</v>
      </c>
      <c r="F32" s="413" t="s">
        <v>1391</v>
      </c>
      <c r="G32" s="413"/>
      <c r="I32" s="233">
        <v>381</v>
      </c>
      <c r="J32" s="234" t="s">
        <v>1108</v>
      </c>
    </row>
    <row r="33" spans="1:10" ht="13.5" customHeight="1">
      <c r="A33" s="233">
        <v>26</v>
      </c>
      <c r="B33" s="413" t="s">
        <v>452</v>
      </c>
      <c r="C33" s="413"/>
      <c r="E33" s="233">
        <v>213</v>
      </c>
      <c r="F33" s="413" t="s">
        <v>809</v>
      </c>
      <c r="G33" s="413"/>
      <c r="I33" s="233">
        <v>382</v>
      </c>
      <c r="J33" s="234" t="s">
        <v>1110</v>
      </c>
    </row>
    <row r="34" spans="1:10" ht="13.5" customHeight="1">
      <c r="A34" s="233">
        <v>27</v>
      </c>
      <c r="B34" s="413" t="s">
        <v>457</v>
      </c>
      <c r="C34" s="413"/>
      <c r="E34" s="233">
        <v>214</v>
      </c>
      <c r="F34" s="413" t="s">
        <v>811</v>
      </c>
      <c r="G34" s="413"/>
      <c r="I34" s="233">
        <v>383</v>
      </c>
      <c r="J34" s="234" t="s">
        <v>1112</v>
      </c>
    </row>
    <row r="35" spans="1:10" ht="13.5" customHeight="1">
      <c r="A35" s="233">
        <v>29</v>
      </c>
      <c r="B35" s="413" t="s">
        <v>462</v>
      </c>
      <c r="C35" s="413"/>
      <c r="E35" s="233">
        <v>215</v>
      </c>
      <c r="F35" s="413" t="s">
        <v>813</v>
      </c>
      <c r="G35" s="413"/>
      <c r="I35" s="233">
        <v>385</v>
      </c>
      <c r="J35" s="234" t="s">
        <v>1114</v>
      </c>
    </row>
    <row r="36" spans="1:10" ht="13.5" customHeight="1">
      <c r="A36" s="233">
        <v>30</v>
      </c>
      <c r="B36" s="413" t="s">
        <v>464</v>
      </c>
      <c r="C36" s="413"/>
      <c r="E36" s="233">
        <v>216</v>
      </c>
      <c r="F36" s="413" t="s">
        <v>815</v>
      </c>
      <c r="G36" s="413"/>
      <c r="I36" s="233">
        <v>386</v>
      </c>
      <c r="J36" s="234" t="s">
        <v>1116</v>
      </c>
    </row>
    <row r="37" spans="1:10" ht="13.5" customHeight="1">
      <c r="A37" s="233">
        <v>32</v>
      </c>
      <c r="B37" s="413" t="s">
        <v>470</v>
      </c>
      <c r="C37" s="413"/>
      <c r="E37" s="233">
        <v>217</v>
      </c>
      <c r="F37" s="413" t="s">
        <v>817</v>
      </c>
      <c r="G37" s="413"/>
      <c r="I37" s="233">
        <v>387</v>
      </c>
      <c r="J37" s="234" t="s">
        <v>1118</v>
      </c>
    </row>
    <row r="38" spans="1:10" ht="13.5" customHeight="1">
      <c r="A38" s="233">
        <v>33</v>
      </c>
      <c r="B38" s="413" t="s">
        <v>473</v>
      </c>
      <c r="C38" s="413"/>
      <c r="E38" s="233">
        <v>572</v>
      </c>
      <c r="F38" s="413" t="s">
        <v>1441</v>
      </c>
      <c r="G38" s="413"/>
      <c r="I38" s="233">
        <v>562</v>
      </c>
      <c r="J38" s="234" t="s">
        <v>1423</v>
      </c>
    </row>
    <row r="39" spans="1:10" ht="13.5" customHeight="1">
      <c r="A39" s="233">
        <v>34</v>
      </c>
      <c r="B39" s="413" t="s">
        <v>477</v>
      </c>
      <c r="C39" s="413"/>
      <c r="E39" s="233">
        <v>219</v>
      </c>
      <c r="F39" s="413" t="s">
        <v>819</v>
      </c>
      <c r="G39" s="413"/>
      <c r="I39" s="233">
        <v>388</v>
      </c>
      <c r="J39" s="234" t="s">
        <v>1120</v>
      </c>
    </row>
    <row r="40" spans="1:10" ht="13.5" customHeight="1">
      <c r="A40" s="233">
        <v>77</v>
      </c>
      <c r="B40" s="413" t="s">
        <v>571</v>
      </c>
      <c r="C40" s="413"/>
      <c r="E40" s="233">
        <v>553</v>
      </c>
      <c r="F40" s="413" t="s">
        <v>1405</v>
      </c>
      <c r="G40" s="413"/>
      <c r="I40" s="233">
        <v>570</v>
      </c>
      <c r="J40" s="234" t="s">
        <v>1437</v>
      </c>
    </row>
    <row r="41" spans="1:10" ht="13.5" customHeight="1">
      <c r="A41" s="233">
        <v>35</v>
      </c>
      <c r="B41" s="413" t="s">
        <v>480</v>
      </c>
      <c r="C41" s="413"/>
      <c r="E41" s="233">
        <v>220</v>
      </c>
      <c r="F41" s="413" t="s">
        <v>821</v>
      </c>
      <c r="G41" s="413"/>
      <c r="I41" s="233">
        <v>389</v>
      </c>
      <c r="J41" s="234" t="s">
        <v>1122</v>
      </c>
    </row>
    <row r="42" spans="1:10" ht="13.5" customHeight="1">
      <c r="A42" s="233">
        <v>36</v>
      </c>
      <c r="B42" s="413" t="s">
        <v>483</v>
      </c>
      <c r="C42" s="413"/>
      <c r="E42" s="233">
        <v>221</v>
      </c>
      <c r="F42" s="413" t="s">
        <v>823</v>
      </c>
      <c r="G42" s="413"/>
      <c r="I42" s="233">
        <v>390</v>
      </c>
      <c r="J42" s="234" t="s">
        <v>1124</v>
      </c>
    </row>
    <row r="43" spans="1:10" ht="13.5" customHeight="1">
      <c r="A43" s="233">
        <v>151</v>
      </c>
      <c r="B43" s="413" t="s">
        <v>703</v>
      </c>
      <c r="C43" s="413"/>
      <c r="E43" s="233">
        <v>222</v>
      </c>
      <c r="F43" s="413" t="s">
        <v>825</v>
      </c>
      <c r="G43" s="413"/>
      <c r="I43" s="233">
        <v>391</v>
      </c>
      <c r="J43" s="234" t="s">
        <v>1126</v>
      </c>
    </row>
    <row r="44" spans="1:10" ht="13.5" customHeight="1">
      <c r="A44" s="233">
        <v>37</v>
      </c>
      <c r="B44" s="413" t="s">
        <v>485</v>
      </c>
      <c r="C44" s="413"/>
      <c r="E44" s="233">
        <v>223</v>
      </c>
      <c r="F44" s="413" t="s">
        <v>827</v>
      </c>
      <c r="G44" s="413"/>
      <c r="I44" s="233">
        <v>393</v>
      </c>
      <c r="J44" s="234" t="s">
        <v>1128</v>
      </c>
    </row>
    <row r="45" spans="1:10" ht="13.5" customHeight="1">
      <c r="A45" s="233">
        <v>38</v>
      </c>
      <c r="B45" s="413" t="s">
        <v>488</v>
      </c>
      <c r="C45" s="413"/>
      <c r="E45" s="233">
        <v>225</v>
      </c>
      <c r="F45" s="413" t="s">
        <v>829</v>
      </c>
      <c r="G45" s="413"/>
      <c r="I45" s="233">
        <v>394</v>
      </c>
      <c r="J45" s="234" t="s">
        <v>1130</v>
      </c>
    </row>
    <row r="46" spans="1:10" ht="13.5" customHeight="1">
      <c r="A46" s="233">
        <v>39</v>
      </c>
      <c r="B46" s="413" t="s">
        <v>492</v>
      </c>
      <c r="C46" s="413"/>
      <c r="E46" s="233">
        <v>226</v>
      </c>
      <c r="F46" s="413" t="s">
        <v>831</v>
      </c>
      <c r="G46" s="413"/>
      <c r="I46" s="233">
        <v>395</v>
      </c>
      <c r="J46" s="234" t="s">
        <v>1132</v>
      </c>
    </row>
    <row r="47" spans="1:10" ht="13.5" customHeight="1">
      <c r="A47" s="233">
        <v>40</v>
      </c>
      <c r="B47" s="413" t="s">
        <v>496</v>
      </c>
      <c r="C47" s="413"/>
      <c r="E47" s="233">
        <v>586</v>
      </c>
      <c r="F47" s="413" t="s">
        <v>1464</v>
      </c>
      <c r="G47" s="413"/>
      <c r="I47" s="233">
        <v>396</v>
      </c>
      <c r="J47" s="234" t="s">
        <v>1134</v>
      </c>
    </row>
    <row r="48" spans="1:10" ht="13.5" customHeight="1">
      <c r="A48" s="233">
        <v>41</v>
      </c>
      <c r="B48" s="413" t="s">
        <v>499</v>
      </c>
      <c r="C48" s="413"/>
      <c r="E48" s="233">
        <v>227</v>
      </c>
      <c r="F48" s="413" t="s">
        <v>833</v>
      </c>
      <c r="G48" s="413"/>
      <c r="I48" s="233">
        <v>397</v>
      </c>
      <c r="J48" s="234" t="s">
        <v>1136</v>
      </c>
    </row>
    <row r="49" spans="1:10" ht="13.5" customHeight="1">
      <c r="A49" s="233">
        <v>42</v>
      </c>
      <c r="B49" s="413" t="s">
        <v>505</v>
      </c>
      <c r="C49" s="413"/>
      <c r="E49" s="233">
        <v>228</v>
      </c>
      <c r="F49" s="413" t="s">
        <v>835</v>
      </c>
      <c r="G49" s="413"/>
      <c r="I49" s="233">
        <v>399</v>
      </c>
      <c r="J49" s="234" t="s">
        <v>1138</v>
      </c>
    </row>
    <row r="50" spans="1:10" ht="13.5" customHeight="1">
      <c r="A50" s="233">
        <v>567</v>
      </c>
      <c r="B50" s="413" t="s">
        <v>1431</v>
      </c>
      <c r="C50" s="413"/>
      <c r="E50" s="233">
        <v>229</v>
      </c>
      <c r="F50" s="413" t="s">
        <v>837</v>
      </c>
      <c r="G50" s="413"/>
      <c r="I50" s="233">
        <v>400</v>
      </c>
      <c r="J50" s="234" t="s">
        <v>1140</v>
      </c>
    </row>
    <row r="51" spans="1:10" ht="13.5" customHeight="1">
      <c r="A51" s="233">
        <v>43</v>
      </c>
      <c r="B51" s="413" t="s">
        <v>507</v>
      </c>
      <c r="C51" s="413"/>
      <c r="E51" s="233">
        <v>230</v>
      </c>
      <c r="F51" s="413" t="s">
        <v>839</v>
      </c>
      <c r="G51" s="413"/>
      <c r="I51" s="233">
        <v>402</v>
      </c>
      <c r="J51" s="234" t="s">
        <v>1142</v>
      </c>
    </row>
    <row r="52" spans="1:10" ht="13.5" customHeight="1">
      <c r="A52" s="233">
        <v>44</v>
      </c>
      <c r="B52" s="413" t="s">
        <v>510</v>
      </c>
      <c r="C52" s="413"/>
      <c r="E52" s="233">
        <v>231</v>
      </c>
      <c r="F52" s="413" t="s">
        <v>841</v>
      </c>
      <c r="G52" s="413"/>
      <c r="I52" s="233">
        <v>405</v>
      </c>
      <c r="J52" s="234" t="s">
        <v>1144</v>
      </c>
    </row>
    <row r="53" spans="1:10" ht="13.5" customHeight="1">
      <c r="A53" s="233">
        <v>46</v>
      </c>
      <c r="B53" s="413" t="s">
        <v>512</v>
      </c>
      <c r="C53" s="413"/>
      <c r="E53" s="233">
        <v>232</v>
      </c>
      <c r="F53" s="413" t="s">
        <v>843</v>
      </c>
      <c r="G53" s="413"/>
      <c r="I53" s="233">
        <v>406</v>
      </c>
      <c r="J53" s="234" t="s">
        <v>1146</v>
      </c>
    </row>
    <row r="54" spans="1:10" ht="13.5" customHeight="1">
      <c r="A54" s="233">
        <v>47</v>
      </c>
      <c r="B54" s="413" t="s">
        <v>516</v>
      </c>
      <c r="C54" s="413"/>
      <c r="E54" s="233">
        <v>234</v>
      </c>
      <c r="F54" s="413" t="s">
        <v>845</v>
      </c>
      <c r="G54" s="413"/>
      <c r="I54" s="233">
        <v>407</v>
      </c>
      <c r="J54" s="234" t="s">
        <v>1148</v>
      </c>
    </row>
    <row r="55" spans="1:10" ht="13.5" customHeight="1">
      <c r="A55" s="233">
        <v>48</v>
      </c>
      <c r="B55" s="413" t="s">
        <v>519</v>
      </c>
      <c r="C55" s="413"/>
      <c r="E55" s="233">
        <v>235</v>
      </c>
      <c r="F55" s="413" t="s">
        <v>847</v>
      </c>
      <c r="G55" s="413"/>
      <c r="I55" s="233">
        <v>409</v>
      </c>
      <c r="J55" s="234" t="s">
        <v>1150</v>
      </c>
    </row>
    <row r="56" spans="1:10" ht="13.5" customHeight="1">
      <c r="A56" s="233">
        <v>49</v>
      </c>
      <c r="B56" s="413" t="s">
        <v>521</v>
      </c>
      <c r="C56" s="413"/>
      <c r="E56" s="233">
        <v>236</v>
      </c>
      <c r="F56" s="413" t="s">
        <v>849</v>
      </c>
      <c r="G56" s="413"/>
      <c r="I56" s="233">
        <v>410</v>
      </c>
      <c r="J56" s="234" t="s">
        <v>1152</v>
      </c>
    </row>
    <row r="57" spans="1:10" ht="13.5" customHeight="1">
      <c r="A57" s="233">
        <v>50</v>
      </c>
      <c r="B57" s="413" t="s">
        <v>525</v>
      </c>
      <c r="C57" s="413"/>
      <c r="E57" s="233">
        <v>237</v>
      </c>
      <c r="F57" s="413" t="s">
        <v>851</v>
      </c>
      <c r="G57" s="413"/>
      <c r="I57" s="233">
        <v>411</v>
      </c>
      <c r="J57" s="234" t="s">
        <v>1154</v>
      </c>
    </row>
    <row r="58" spans="1:10" ht="13.5" customHeight="1">
      <c r="A58" s="233">
        <v>51</v>
      </c>
      <c r="B58" s="413" t="s">
        <v>527</v>
      </c>
      <c r="C58" s="413"/>
      <c r="E58" s="233">
        <v>587</v>
      </c>
      <c r="F58" s="413" t="s">
        <v>1466</v>
      </c>
      <c r="G58" s="413"/>
      <c r="I58" s="233">
        <v>412</v>
      </c>
      <c r="J58" s="234" t="s">
        <v>1156</v>
      </c>
    </row>
    <row r="59" spans="1:10" ht="13.5" customHeight="1">
      <c r="A59" s="233">
        <v>52</v>
      </c>
      <c r="B59" s="413" t="s">
        <v>529</v>
      </c>
      <c r="C59" s="413"/>
      <c r="E59" s="233">
        <v>624</v>
      </c>
      <c r="F59" s="413" t="s">
        <v>1532</v>
      </c>
      <c r="G59" s="413"/>
      <c r="I59" s="233">
        <v>413</v>
      </c>
      <c r="J59" s="234" t="s">
        <v>1158</v>
      </c>
    </row>
    <row r="60" spans="1:10" ht="13.5" customHeight="1">
      <c r="A60" s="233">
        <v>53</v>
      </c>
      <c r="B60" s="413" t="s">
        <v>531</v>
      </c>
      <c r="C60" s="413"/>
      <c r="E60" s="233">
        <v>239</v>
      </c>
      <c r="F60" s="413" t="s">
        <v>853</v>
      </c>
      <c r="G60" s="413"/>
      <c r="I60" s="233">
        <v>414</v>
      </c>
      <c r="J60" s="234" t="s">
        <v>1160</v>
      </c>
    </row>
    <row r="61" spans="1:10" ht="13.5" customHeight="1">
      <c r="A61" s="233">
        <v>54</v>
      </c>
      <c r="B61" s="413" t="s">
        <v>533</v>
      </c>
      <c r="C61" s="413"/>
      <c r="E61" s="233">
        <v>240</v>
      </c>
      <c r="F61" s="413" t="s">
        <v>855</v>
      </c>
      <c r="G61" s="413"/>
      <c r="I61" s="233">
        <v>415</v>
      </c>
      <c r="J61" s="234" t="s">
        <v>1162</v>
      </c>
    </row>
    <row r="62" spans="1:10" ht="13.5" customHeight="1">
      <c r="A62" s="233">
        <v>55</v>
      </c>
      <c r="B62" s="413" t="s">
        <v>535</v>
      </c>
      <c r="C62" s="413"/>
      <c r="E62" s="233">
        <v>242</v>
      </c>
      <c r="F62" s="413" t="s">
        <v>857</v>
      </c>
      <c r="G62" s="413"/>
      <c r="I62" s="233">
        <v>416</v>
      </c>
      <c r="J62" s="234" t="s">
        <v>1164</v>
      </c>
    </row>
    <row r="63" spans="1:10" ht="13.5" customHeight="1">
      <c r="A63" s="233">
        <v>56</v>
      </c>
      <c r="B63" s="413" t="s">
        <v>537</v>
      </c>
      <c r="C63" s="413"/>
      <c r="E63" s="233">
        <v>243</v>
      </c>
      <c r="F63" s="413" t="s">
        <v>859</v>
      </c>
      <c r="G63" s="413"/>
      <c r="I63" s="233">
        <v>418</v>
      </c>
      <c r="J63" s="234" t="s">
        <v>1166</v>
      </c>
    </row>
    <row r="64" spans="1:10" ht="13.5" customHeight="1">
      <c r="A64" s="233">
        <v>57</v>
      </c>
      <c r="B64" s="413" t="s">
        <v>539</v>
      </c>
      <c r="C64" s="413"/>
      <c r="E64" s="233">
        <v>244</v>
      </c>
      <c r="F64" s="413" t="s">
        <v>861</v>
      </c>
      <c r="G64" s="413"/>
      <c r="I64" s="233">
        <v>419</v>
      </c>
      <c r="J64" s="234" t="s">
        <v>1168</v>
      </c>
    </row>
    <row r="65" spans="1:10" ht="13.5" customHeight="1">
      <c r="A65" s="233">
        <v>58</v>
      </c>
      <c r="B65" s="413" t="s">
        <v>541</v>
      </c>
      <c r="C65" s="413"/>
      <c r="E65" s="233">
        <v>548</v>
      </c>
      <c r="F65" s="413" t="s">
        <v>1395</v>
      </c>
      <c r="G65" s="413"/>
      <c r="I65" s="233">
        <v>606</v>
      </c>
      <c r="J65" s="234" t="s">
        <v>1502</v>
      </c>
    </row>
    <row r="66" spans="1:10" ht="13.5" customHeight="1">
      <c r="A66" s="233">
        <v>60</v>
      </c>
      <c r="B66" s="413" t="s">
        <v>543</v>
      </c>
      <c r="C66" s="413"/>
      <c r="E66" s="233">
        <v>245</v>
      </c>
      <c r="F66" s="413" t="s">
        <v>863</v>
      </c>
      <c r="G66" s="413"/>
      <c r="I66" s="233">
        <v>421</v>
      </c>
      <c r="J66" s="234" t="s">
        <v>1170</v>
      </c>
    </row>
    <row r="67" spans="1:10" ht="13.5" customHeight="1">
      <c r="A67" s="233">
        <v>61</v>
      </c>
      <c r="B67" s="413" t="s">
        <v>545</v>
      </c>
      <c r="C67" s="413"/>
      <c r="E67" s="233">
        <v>600</v>
      </c>
      <c r="F67" s="413" t="s">
        <v>1490</v>
      </c>
      <c r="G67" s="413"/>
      <c r="I67" s="233">
        <v>422</v>
      </c>
      <c r="J67" s="234" t="s">
        <v>1172</v>
      </c>
    </row>
    <row r="68" spans="1:10" ht="13.5" customHeight="1">
      <c r="A68" s="233">
        <v>63</v>
      </c>
      <c r="B68" s="413" t="s">
        <v>547</v>
      </c>
      <c r="C68" s="413"/>
      <c r="E68" s="233">
        <v>246</v>
      </c>
      <c r="F68" s="413" t="s">
        <v>865</v>
      </c>
      <c r="G68" s="413"/>
      <c r="I68" s="233">
        <v>551</v>
      </c>
      <c r="J68" s="234" t="s">
        <v>1401</v>
      </c>
    </row>
    <row r="69" spans="1:10" ht="13.5" customHeight="1">
      <c r="A69" s="233">
        <v>64</v>
      </c>
      <c r="B69" s="413" t="s">
        <v>549</v>
      </c>
      <c r="C69" s="413"/>
      <c r="E69" s="233">
        <v>247</v>
      </c>
      <c r="F69" s="413" t="s">
        <v>867</v>
      </c>
      <c r="G69" s="413"/>
      <c r="I69" s="233">
        <v>423</v>
      </c>
      <c r="J69" s="234" t="s">
        <v>1174</v>
      </c>
    </row>
    <row r="70" spans="1:10" ht="13.5" customHeight="1">
      <c r="A70" s="233">
        <v>65</v>
      </c>
      <c r="B70" s="413" t="s">
        <v>551</v>
      </c>
      <c r="C70" s="413"/>
      <c r="E70" s="233">
        <v>248</v>
      </c>
      <c r="F70" s="413" t="s">
        <v>869</v>
      </c>
      <c r="G70" s="413"/>
      <c r="I70" s="233">
        <v>424</v>
      </c>
      <c r="J70" s="234" t="s">
        <v>1176</v>
      </c>
    </row>
    <row r="71" spans="1:10" ht="13.5" customHeight="1">
      <c r="A71" s="233">
        <v>66</v>
      </c>
      <c r="B71" s="413" t="s">
        <v>553</v>
      </c>
      <c r="C71" s="413"/>
      <c r="E71" s="233">
        <v>578</v>
      </c>
      <c r="F71" s="413" t="s">
        <v>1451</v>
      </c>
      <c r="G71" s="413"/>
      <c r="I71" s="233">
        <v>425</v>
      </c>
      <c r="J71" s="234" t="s">
        <v>1178</v>
      </c>
    </row>
    <row r="72" spans="1:10" ht="13.5" customHeight="1">
      <c r="A72" s="233">
        <v>67</v>
      </c>
      <c r="B72" s="413" t="s">
        <v>555</v>
      </c>
      <c r="C72" s="413"/>
      <c r="E72" s="233">
        <v>555</v>
      </c>
      <c r="F72" s="413" t="s">
        <v>1409</v>
      </c>
      <c r="G72" s="413"/>
      <c r="I72" s="233">
        <v>426</v>
      </c>
      <c r="J72" s="234" t="s">
        <v>1180</v>
      </c>
    </row>
    <row r="73" spans="1:10" ht="13.5" customHeight="1">
      <c r="A73" s="233">
        <v>68</v>
      </c>
      <c r="B73" s="413" t="s">
        <v>557</v>
      </c>
      <c r="C73" s="413"/>
      <c r="E73" s="233">
        <v>249</v>
      </c>
      <c r="F73" s="413" t="s">
        <v>871</v>
      </c>
      <c r="G73" s="413"/>
      <c r="I73" s="233">
        <v>427</v>
      </c>
      <c r="J73" s="234" t="s">
        <v>1182</v>
      </c>
    </row>
    <row r="74" spans="1:10" ht="13.5" customHeight="1">
      <c r="A74" s="233">
        <v>603</v>
      </c>
      <c r="B74" s="413" t="s">
        <v>1496</v>
      </c>
      <c r="C74" s="413"/>
      <c r="E74" s="233">
        <v>250</v>
      </c>
      <c r="F74" s="413" t="s">
        <v>873</v>
      </c>
      <c r="G74" s="413"/>
      <c r="I74" s="233">
        <v>592</v>
      </c>
      <c r="J74" s="234" t="s">
        <v>1476</v>
      </c>
    </row>
    <row r="75" spans="1:10" ht="13.5" customHeight="1">
      <c r="A75" s="233">
        <v>69</v>
      </c>
      <c r="B75" s="413" t="s">
        <v>559</v>
      </c>
      <c r="C75" s="413"/>
      <c r="E75" s="233">
        <v>251</v>
      </c>
      <c r="F75" s="413" t="s">
        <v>875</v>
      </c>
      <c r="G75" s="413"/>
      <c r="I75" s="233">
        <v>607</v>
      </c>
      <c r="J75" s="234" t="s">
        <v>1504</v>
      </c>
    </row>
    <row r="76" spans="1:10" ht="13.5" customHeight="1">
      <c r="A76" s="233">
        <v>70</v>
      </c>
      <c r="B76" s="413" t="s">
        <v>561</v>
      </c>
      <c r="C76" s="413"/>
      <c r="E76" s="233">
        <v>252</v>
      </c>
      <c r="F76" s="413" t="s">
        <v>877</v>
      </c>
      <c r="G76" s="413"/>
      <c r="I76" s="233">
        <v>432</v>
      </c>
      <c r="J76" s="234" t="s">
        <v>1192</v>
      </c>
    </row>
    <row r="77" spans="1:10" ht="13.5" customHeight="1">
      <c r="A77" s="233">
        <v>71</v>
      </c>
      <c r="B77" s="413" t="s">
        <v>563</v>
      </c>
      <c r="C77" s="413"/>
      <c r="E77" s="233">
        <v>253</v>
      </c>
      <c r="F77" s="413" t="s">
        <v>879</v>
      </c>
      <c r="G77" s="413"/>
      <c r="I77" s="233">
        <v>436</v>
      </c>
      <c r="J77" s="234" t="s">
        <v>1192</v>
      </c>
    </row>
    <row r="78" spans="1:10" ht="13.5" customHeight="1">
      <c r="A78" s="233">
        <v>72</v>
      </c>
      <c r="B78" s="413" t="s">
        <v>565</v>
      </c>
      <c r="C78" s="413"/>
      <c r="E78" s="233">
        <v>254</v>
      </c>
      <c r="F78" s="413" t="s">
        <v>881</v>
      </c>
      <c r="G78" s="413"/>
      <c r="I78" s="233">
        <v>437</v>
      </c>
      <c r="J78" s="234" t="s">
        <v>1200</v>
      </c>
    </row>
    <row r="79" spans="1:10" ht="13.5" customHeight="1">
      <c r="A79" s="233">
        <v>74</v>
      </c>
      <c r="B79" s="413" t="s">
        <v>567</v>
      </c>
      <c r="C79" s="413"/>
      <c r="E79" s="233">
        <v>256</v>
      </c>
      <c r="F79" s="413" t="s">
        <v>883</v>
      </c>
      <c r="G79" s="413"/>
      <c r="I79" s="233">
        <v>428</v>
      </c>
      <c r="J79" s="234" t="s">
        <v>1184</v>
      </c>
    </row>
    <row r="80" spans="1:10" ht="13.5" customHeight="1">
      <c r="A80" s="233">
        <v>75</v>
      </c>
      <c r="B80" s="413" t="s">
        <v>569</v>
      </c>
      <c r="C80" s="413"/>
      <c r="E80" s="233">
        <v>539</v>
      </c>
      <c r="F80" s="413" t="s">
        <v>1379</v>
      </c>
      <c r="G80" s="413"/>
      <c r="I80" s="233">
        <v>438</v>
      </c>
      <c r="J80" s="234" t="s">
        <v>1202</v>
      </c>
    </row>
    <row r="81" spans="1:10" ht="13.5" customHeight="1">
      <c r="A81" s="233">
        <v>78</v>
      </c>
      <c r="B81" s="413" t="s">
        <v>573</v>
      </c>
      <c r="C81" s="413"/>
      <c r="E81" s="233">
        <v>257</v>
      </c>
      <c r="F81" s="413" t="s">
        <v>885</v>
      </c>
      <c r="G81" s="413"/>
      <c r="I81" s="233">
        <v>429</v>
      </c>
      <c r="J81" s="234" t="s">
        <v>1186</v>
      </c>
    </row>
    <row r="82" spans="1:10" ht="13.5" customHeight="1">
      <c r="A82" s="233">
        <v>576</v>
      </c>
      <c r="B82" s="413" t="s">
        <v>1449</v>
      </c>
      <c r="C82" s="413"/>
      <c r="E82" s="233">
        <v>258</v>
      </c>
      <c r="F82" s="413" t="s">
        <v>887</v>
      </c>
      <c r="G82" s="413"/>
      <c r="I82" s="233">
        <v>439</v>
      </c>
      <c r="J82" s="234" t="s">
        <v>1204</v>
      </c>
    </row>
    <row r="83" spans="1:10" ht="13.5" customHeight="1">
      <c r="A83" s="233">
        <v>79</v>
      </c>
      <c r="B83" s="413" t="s">
        <v>575</v>
      </c>
      <c r="C83" s="413"/>
      <c r="E83" s="233">
        <v>610</v>
      </c>
      <c r="F83" s="413" t="s">
        <v>1510</v>
      </c>
      <c r="G83" s="413"/>
      <c r="I83" s="233">
        <v>440</v>
      </c>
      <c r="J83" s="234" t="s">
        <v>1206</v>
      </c>
    </row>
    <row r="84" spans="1:10" ht="13.5" customHeight="1">
      <c r="A84" s="233">
        <v>80</v>
      </c>
      <c r="B84" s="413" t="s">
        <v>577</v>
      </c>
      <c r="C84" s="413"/>
      <c r="E84" s="233">
        <v>259</v>
      </c>
      <c r="F84" s="413" t="s">
        <v>889</v>
      </c>
      <c r="G84" s="413"/>
      <c r="I84" s="233">
        <v>430</v>
      </c>
      <c r="J84" s="234" t="s">
        <v>1188</v>
      </c>
    </row>
    <row r="85" spans="1:10" ht="13.5" customHeight="1">
      <c r="A85" s="233">
        <v>81</v>
      </c>
      <c r="B85" s="413" t="s">
        <v>579</v>
      </c>
      <c r="C85" s="413"/>
      <c r="E85" s="233">
        <v>260</v>
      </c>
      <c r="F85" s="413" t="s">
        <v>891</v>
      </c>
      <c r="G85" s="413"/>
      <c r="I85" s="233">
        <v>431</v>
      </c>
      <c r="J85" s="234" t="s">
        <v>1190</v>
      </c>
    </row>
    <row r="86" spans="1:10" ht="13.5" customHeight="1">
      <c r="A86" s="233">
        <v>82</v>
      </c>
      <c r="B86" s="413" t="s">
        <v>581</v>
      </c>
      <c r="C86" s="413"/>
      <c r="E86" s="233">
        <v>261</v>
      </c>
      <c r="F86" s="413" t="s">
        <v>893</v>
      </c>
      <c r="G86" s="413"/>
      <c r="I86" s="233">
        <v>441</v>
      </c>
      <c r="J86" s="234" t="s">
        <v>1208</v>
      </c>
    </row>
    <row r="87" spans="1:10" ht="13.5" customHeight="1">
      <c r="A87" s="233">
        <v>83</v>
      </c>
      <c r="B87" s="413" t="s">
        <v>583</v>
      </c>
      <c r="C87" s="413"/>
      <c r="E87" s="233">
        <v>263</v>
      </c>
      <c r="F87" s="413" t="s">
        <v>895</v>
      </c>
      <c r="G87" s="413"/>
      <c r="I87" s="233">
        <v>442</v>
      </c>
      <c r="J87" s="234" t="s">
        <v>1210</v>
      </c>
    </row>
    <row r="88" spans="1:10" ht="13.5" customHeight="1">
      <c r="A88" s="233">
        <v>84</v>
      </c>
      <c r="B88" s="413" t="s">
        <v>585</v>
      </c>
      <c r="C88" s="413"/>
      <c r="E88" s="233">
        <v>264</v>
      </c>
      <c r="F88" s="413" t="s">
        <v>897</v>
      </c>
      <c r="G88" s="413"/>
      <c r="I88" s="233">
        <v>433</v>
      </c>
      <c r="J88" s="234" t="s">
        <v>1194</v>
      </c>
    </row>
    <row r="89" spans="1:10" ht="13.5" customHeight="1">
      <c r="A89" s="233">
        <v>85</v>
      </c>
      <c r="B89" s="413" t="s">
        <v>587</v>
      </c>
      <c r="C89" s="413"/>
      <c r="E89" s="233">
        <v>265</v>
      </c>
      <c r="F89" s="413" t="s">
        <v>899</v>
      </c>
      <c r="G89" s="413"/>
      <c r="I89" s="233">
        <v>435</v>
      </c>
      <c r="J89" s="234" t="s">
        <v>1196</v>
      </c>
    </row>
    <row r="90" spans="1:10" ht="13.5" customHeight="1">
      <c r="A90" s="233">
        <v>86</v>
      </c>
      <c r="B90" s="413" t="s">
        <v>589</v>
      </c>
      <c r="C90" s="413"/>
      <c r="E90" s="233">
        <v>266</v>
      </c>
      <c r="F90" s="413" t="s">
        <v>901</v>
      </c>
      <c r="G90" s="413"/>
      <c r="I90" s="233">
        <v>564</v>
      </c>
      <c r="J90" s="234" t="s">
        <v>1425</v>
      </c>
    </row>
    <row r="91" spans="1:10" ht="13.5" customHeight="1">
      <c r="A91" s="233">
        <v>89</v>
      </c>
      <c r="B91" s="413" t="s">
        <v>595</v>
      </c>
      <c r="C91" s="413"/>
      <c r="E91" s="233">
        <v>267</v>
      </c>
      <c r="F91" s="413" t="s">
        <v>903</v>
      </c>
      <c r="G91" s="413"/>
      <c r="I91" s="233">
        <v>608</v>
      </c>
      <c r="J91" s="234" t="s">
        <v>1506</v>
      </c>
    </row>
    <row r="92" spans="1:10" ht="13.5" customHeight="1">
      <c r="A92" s="233">
        <v>568</v>
      </c>
      <c r="B92" s="413" t="s">
        <v>1433</v>
      </c>
      <c r="C92" s="413"/>
      <c r="E92" s="233">
        <v>268</v>
      </c>
      <c r="F92" s="413" t="s">
        <v>905</v>
      </c>
      <c r="G92" s="413"/>
      <c r="I92" s="233">
        <v>443</v>
      </c>
      <c r="J92" s="234" t="s">
        <v>1212</v>
      </c>
    </row>
    <row r="93" spans="1:10" ht="13.5" customHeight="1">
      <c r="A93" s="233">
        <v>90</v>
      </c>
      <c r="B93" s="413" t="s">
        <v>597</v>
      </c>
      <c r="C93" s="413"/>
      <c r="E93" s="233">
        <v>270</v>
      </c>
      <c r="F93" s="413" t="s">
        <v>907</v>
      </c>
      <c r="G93" s="413"/>
      <c r="I93" s="233">
        <v>444</v>
      </c>
      <c r="J93" s="234" t="s">
        <v>1214</v>
      </c>
    </row>
    <row r="94" spans="1:10" ht="13.5" customHeight="1">
      <c r="A94" s="233">
        <v>91</v>
      </c>
      <c r="B94" s="413" t="s">
        <v>599</v>
      </c>
      <c r="C94" s="413"/>
      <c r="E94" s="233">
        <v>273</v>
      </c>
      <c r="F94" s="413" t="s">
        <v>911</v>
      </c>
      <c r="G94" s="413"/>
      <c r="I94" s="233">
        <v>445</v>
      </c>
      <c r="J94" s="234" t="s">
        <v>1216</v>
      </c>
    </row>
    <row r="95" spans="1:10" ht="13.5" customHeight="1">
      <c r="A95" s="233">
        <v>92</v>
      </c>
      <c r="B95" s="413" t="s">
        <v>601</v>
      </c>
      <c r="C95" s="413"/>
      <c r="E95" s="233">
        <v>274</v>
      </c>
      <c r="F95" s="413" t="s">
        <v>913</v>
      </c>
      <c r="G95" s="413"/>
      <c r="I95" s="233">
        <v>614</v>
      </c>
      <c r="J95" s="234" t="s">
        <v>1514</v>
      </c>
    </row>
    <row r="96" spans="1:10" ht="13.5" customHeight="1">
      <c r="A96" s="233">
        <v>94</v>
      </c>
      <c r="B96" s="413" t="s">
        <v>603</v>
      </c>
      <c r="C96" s="413"/>
      <c r="E96" s="233">
        <v>275</v>
      </c>
      <c r="F96" s="413" t="s">
        <v>915</v>
      </c>
      <c r="G96" s="413"/>
      <c r="I96" s="233">
        <v>447</v>
      </c>
      <c r="J96" s="234" t="s">
        <v>1218</v>
      </c>
    </row>
    <row r="97" spans="1:10" ht="13.5" customHeight="1">
      <c r="A97" s="233">
        <v>95</v>
      </c>
      <c r="B97" s="413" t="s">
        <v>605</v>
      </c>
      <c r="C97" s="413"/>
      <c r="E97" s="233">
        <v>87</v>
      </c>
      <c r="F97" s="413" t="s">
        <v>591</v>
      </c>
      <c r="G97" s="413"/>
      <c r="I97" s="233">
        <v>449</v>
      </c>
      <c r="J97" s="234" t="s">
        <v>1220</v>
      </c>
    </row>
    <row r="98" spans="1:10" ht="13.5" customHeight="1">
      <c r="A98" s="233">
        <v>96</v>
      </c>
      <c r="B98" s="413" t="s">
        <v>607</v>
      </c>
      <c r="C98" s="413"/>
      <c r="E98" s="233">
        <v>276</v>
      </c>
      <c r="F98" s="413" t="s">
        <v>917</v>
      </c>
      <c r="G98" s="413"/>
      <c r="I98" s="233">
        <v>450</v>
      </c>
      <c r="J98" s="234" t="s">
        <v>1222</v>
      </c>
    </row>
    <row r="99" spans="1:10" ht="13.5" customHeight="1">
      <c r="A99" s="233">
        <v>97</v>
      </c>
      <c r="B99" s="413" t="s">
        <v>609</v>
      </c>
      <c r="C99" s="413"/>
      <c r="E99" s="233">
        <v>617</v>
      </c>
      <c r="F99" s="413" t="s">
        <v>1518</v>
      </c>
      <c r="G99" s="413"/>
      <c r="I99" s="233">
        <v>628</v>
      </c>
      <c r="J99" s="234" t="s">
        <v>1538</v>
      </c>
    </row>
    <row r="100" spans="1:10" ht="13.5" customHeight="1">
      <c r="A100" s="233">
        <v>549</v>
      </c>
      <c r="B100" s="413" t="s">
        <v>1397</v>
      </c>
      <c r="C100" s="413"/>
      <c r="E100" s="233">
        <v>278</v>
      </c>
      <c r="F100" s="413" t="s">
        <v>919</v>
      </c>
      <c r="G100" s="413"/>
      <c r="I100" s="233">
        <v>452</v>
      </c>
      <c r="J100" s="234" t="s">
        <v>1224</v>
      </c>
    </row>
    <row r="101" spans="1:10" ht="13.5" customHeight="1">
      <c r="A101" s="233">
        <v>598</v>
      </c>
      <c r="B101" s="413" t="s">
        <v>1486</v>
      </c>
      <c r="C101" s="413"/>
      <c r="E101" s="233">
        <v>279</v>
      </c>
      <c r="F101" s="413" t="s">
        <v>921</v>
      </c>
      <c r="G101" s="413"/>
      <c r="I101" s="233">
        <v>631</v>
      </c>
      <c r="J101" s="234" t="s">
        <v>1542</v>
      </c>
    </row>
    <row r="102" spans="1:10" ht="13.5" customHeight="1">
      <c r="A102" s="233">
        <v>98</v>
      </c>
      <c r="B102" s="413" t="s">
        <v>611</v>
      </c>
      <c r="C102" s="413"/>
      <c r="E102" s="233">
        <v>612</v>
      </c>
      <c r="F102" s="413" t="s">
        <v>1512</v>
      </c>
      <c r="G102" s="413"/>
      <c r="I102" s="233">
        <v>453</v>
      </c>
      <c r="J102" s="234" t="s">
        <v>1226</v>
      </c>
    </row>
    <row r="103" spans="1:10" ht="13.5" customHeight="1">
      <c r="A103" s="233">
        <v>99</v>
      </c>
      <c r="B103" s="413" t="s">
        <v>613</v>
      </c>
      <c r="C103" s="413"/>
      <c r="E103" s="233">
        <v>280</v>
      </c>
      <c r="F103" s="413" t="s">
        <v>923</v>
      </c>
      <c r="G103" s="413"/>
      <c r="I103" s="233">
        <v>454</v>
      </c>
      <c r="J103" s="234" t="s">
        <v>1228</v>
      </c>
    </row>
    <row r="104" spans="1:10" ht="13.5" customHeight="1">
      <c r="A104" s="233">
        <v>100</v>
      </c>
      <c r="B104" s="413" t="s">
        <v>615</v>
      </c>
      <c r="C104" s="413"/>
      <c r="E104" s="233">
        <v>281</v>
      </c>
      <c r="F104" s="413" t="s">
        <v>925</v>
      </c>
      <c r="G104" s="413"/>
      <c r="I104" s="233">
        <v>575</v>
      </c>
      <c r="J104" s="234" t="s">
        <v>1447</v>
      </c>
    </row>
    <row r="105" spans="1:10" ht="13.5" customHeight="1">
      <c r="A105" s="233">
        <v>101</v>
      </c>
      <c r="B105" s="413" t="s">
        <v>617</v>
      </c>
      <c r="C105" s="413"/>
      <c r="E105" s="233">
        <v>295</v>
      </c>
      <c r="F105" s="413" t="s">
        <v>951</v>
      </c>
      <c r="G105" s="413"/>
      <c r="I105" s="233">
        <v>456</v>
      </c>
      <c r="J105" s="234" t="s">
        <v>1232</v>
      </c>
    </row>
    <row r="106" spans="1:10" ht="13.5" customHeight="1">
      <c r="A106" s="233">
        <v>585</v>
      </c>
      <c r="B106" s="413" t="s">
        <v>1462</v>
      </c>
      <c r="C106" s="413"/>
      <c r="E106" s="233">
        <v>282</v>
      </c>
      <c r="F106" s="413" t="s">
        <v>927</v>
      </c>
      <c r="G106" s="413"/>
      <c r="I106" s="233">
        <v>457</v>
      </c>
      <c r="J106" s="234" t="s">
        <v>1234</v>
      </c>
    </row>
    <row r="107" spans="1:10" ht="13.5" customHeight="1">
      <c r="A107" s="233">
        <v>102</v>
      </c>
      <c r="B107" s="413" t="s">
        <v>619</v>
      </c>
      <c r="C107" s="413"/>
      <c r="E107" s="233">
        <v>283</v>
      </c>
      <c r="F107" s="413" t="s">
        <v>929</v>
      </c>
      <c r="G107" s="413"/>
      <c r="I107" s="233">
        <v>458</v>
      </c>
      <c r="J107" s="234" t="s">
        <v>1236</v>
      </c>
    </row>
    <row r="108" spans="1:10" ht="13.5" customHeight="1">
      <c r="A108" s="233">
        <v>103</v>
      </c>
      <c r="B108" s="413" t="s">
        <v>621</v>
      </c>
      <c r="C108" s="413"/>
      <c r="E108" s="233">
        <v>284</v>
      </c>
      <c r="F108" s="413" t="s">
        <v>931</v>
      </c>
      <c r="G108" s="413"/>
      <c r="I108" s="233">
        <v>557</v>
      </c>
      <c r="J108" s="234" t="s">
        <v>1413</v>
      </c>
    </row>
    <row r="109" spans="1:10" ht="13.5" customHeight="1">
      <c r="A109" s="233">
        <v>104</v>
      </c>
      <c r="B109" s="413" t="s">
        <v>623</v>
      </c>
      <c r="C109" s="413"/>
      <c r="E109" s="233">
        <v>285</v>
      </c>
      <c r="F109" s="413" t="s">
        <v>933</v>
      </c>
      <c r="G109" s="413"/>
      <c r="I109" s="233">
        <v>459</v>
      </c>
      <c r="J109" s="234" t="s">
        <v>1238</v>
      </c>
    </row>
    <row r="110" spans="1:10" ht="13.5" customHeight="1">
      <c r="A110" s="233">
        <v>105</v>
      </c>
      <c r="B110" s="413" t="s">
        <v>625</v>
      </c>
      <c r="C110" s="413"/>
      <c r="E110" s="233">
        <v>287</v>
      </c>
      <c r="F110" s="413" t="s">
        <v>935</v>
      </c>
      <c r="G110" s="413"/>
      <c r="I110" s="233">
        <v>626</v>
      </c>
      <c r="J110" s="234" t="s">
        <v>1536</v>
      </c>
    </row>
    <row r="111" spans="1:10" ht="13.5" customHeight="1">
      <c r="A111" s="233">
        <v>106</v>
      </c>
      <c r="B111" s="413" t="s">
        <v>627</v>
      </c>
      <c r="C111" s="413"/>
      <c r="E111" s="233">
        <v>288</v>
      </c>
      <c r="F111" s="413" t="s">
        <v>937</v>
      </c>
      <c r="G111" s="413"/>
      <c r="I111" s="233">
        <v>460</v>
      </c>
      <c r="J111" s="234" t="s">
        <v>1240</v>
      </c>
    </row>
    <row r="112" spans="1:10" ht="13.5" customHeight="1">
      <c r="A112" s="233">
        <v>107</v>
      </c>
      <c r="B112" s="413" t="s">
        <v>629</v>
      </c>
      <c r="C112" s="413"/>
      <c r="E112" s="233">
        <v>554</v>
      </c>
      <c r="F112" s="413" t="s">
        <v>1407</v>
      </c>
      <c r="G112" s="413"/>
      <c r="I112" s="233">
        <v>461</v>
      </c>
      <c r="J112" s="234" t="s">
        <v>1242</v>
      </c>
    </row>
    <row r="113" spans="1:10" ht="13.5" customHeight="1">
      <c r="A113" s="233">
        <v>108</v>
      </c>
      <c r="B113" s="413" t="s">
        <v>631</v>
      </c>
      <c r="C113" s="413"/>
      <c r="E113" s="233">
        <v>289</v>
      </c>
      <c r="F113" s="413" t="s">
        <v>939</v>
      </c>
      <c r="G113" s="413"/>
      <c r="I113" s="233">
        <v>462</v>
      </c>
      <c r="J113" s="234" t="s">
        <v>1244</v>
      </c>
    </row>
    <row r="114" spans="1:10" ht="13.5" customHeight="1">
      <c r="A114" s="233">
        <v>110</v>
      </c>
      <c r="B114" s="413" t="s">
        <v>633</v>
      </c>
      <c r="C114" s="413"/>
      <c r="E114" s="233">
        <v>290</v>
      </c>
      <c r="F114" s="413" t="s">
        <v>941</v>
      </c>
      <c r="G114" s="413"/>
      <c r="I114" s="233">
        <v>463</v>
      </c>
      <c r="J114" s="234" t="s">
        <v>1246</v>
      </c>
    </row>
    <row r="115" spans="1:10" ht="13.5" customHeight="1">
      <c r="A115" s="233">
        <v>111</v>
      </c>
      <c r="B115" s="413" t="s">
        <v>635</v>
      </c>
      <c r="C115" s="413"/>
      <c r="E115" s="233">
        <v>537</v>
      </c>
      <c r="F115" s="413" t="s">
        <v>943</v>
      </c>
      <c r="G115" s="413"/>
      <c r="I115" s="233">
        <v>601</v>
      </c>
      <c r="J115" s="234" t="s">
        <v>1492</v>
      </c>
    </row>
    <row r="116" spans="1:10" ht="13.5" customHeight="1">
      <c r="A116" s="233">
        <v>113</v>
      </c>
      <c r="B116" s="413" t="s">
        <v>637</v>
      </c>
      <c r="C116" s="413"/>
      <c r="E116" s="233">
        <v>291</v>
      </c>
      <c r="F116" s="413" t="s">
        <v>943</v>
      </c>
      <c r="G116" s="413"/>
      <c r="I116" s="233">
        <v>464</v>
      </c>
      <c r="J116" s="234" t="s">
        <v>1248</v>
      </c>
    </row>
    <row r="117" spans="1:10" ht="13.5" customHeight="1">
      <c r="A117" s="233">
        <v>114</v>
      </c>
      <c r="B117" s="413" t="s">
        <v>639</v>
      </c>
      <c r="C117" s="413"/>
      <c r="E117" s="233">
        <v>292</v>
      </c>
      <c r="F117" s="413" t="s">
        <v>945</v>
      </c>
      <c r="G117" s="413"/>
      <c r="I117" s="233">
        <v>593</v>
      </c>
      <c r="J117" s="234" t="s">
        <v>1478</v>
      </c>
    </row>
    <row r="118" spans="1:10" ht="13.5" customHeight="1">
      <c r="A118" s="233">
        <v>619</v>
      </c>
      <c r="B118" s="413" t="s">
        <v>1522</v>
      </c>
      <c r="C118" s="413"/>
      <c r="E118" s="233">
        <v>561</v>
      </c>
      <c r="F118" s="413" t="s">
        <v>1421</v>
      </c>
      <c r="G118" s="413"/>
      <c r="I118" s="233">
        <v>466</v>
      </c>
      <c r="J118" s="234" t="s">
        <v>1250</v>
      </c>
    </row>
    <row r="119" spans="1:10" ht="13.5" customHeight="1">
      <c r="A119" s="233">
        <v>115</v>
      </c>
      <c r="B119" s="413" t="s">
        <v>641</v>
      </c>
      <c r="C119" s="413"/>
      <c r="E119" s="233">
        <v>293</v>
      </c>
      <c r="F119" s="413" t="s">
        <v>947</v>
      </c>
      <c r="G119" s="413"/>
      <c r="I119" s="233">
        <v>467</v>
      </c>
      <c r="J119" s="234" t="s">
        <v>1252</v>
      </c>
    </row>
    <row r="120" spans="1:10" ht="13.5" customHeight="1">
      <c r="A120" s="233">
        <v>116</v>
      </c>
      <c r="B120" s="413" t="s">
        <v>643</v>
      </c>
      <c r="C120" s="413"/>
      <c r="E120" s="233">
        <v>294</v>
      </c>
      <c r="F120" s="413" t="s">
        <v>949</v>
      </c>
      <c r="G120" s="413"/>
      <c r="I120" s="233">
        <v>468</v>
      </c>
      <c r="J120" s="234" t="s">
        <v>1254</v>
      </c>
    </row>
    <row r="121" spans="1:10" ht="13.5" customHeight="1">
      <c r="A121" s="233">
        <v>629</v>
      </c>
      <c r="B121" s="413" t="s">
        <v>1540</v>
      </c>
      <c r="C121" s="413"/>
      <c r="E121" s="233">
        <v>296</v>
      </c>
      <c r="F121" s="413" t="s">
        <v>953</v>
      </c>
      <c r="G121" s="413"/>
      <c r="I121" s="233">
        <v>469</v>
      </c>
      <c r="J121" s="234" t="s">
        <v>1256</v>
      </c>
    </row>
    <row r="122" spans="1:10" ht="13.5" customHeight="1">
      <c r="A122" s="233">
        <v>117</v>
      </c>
      <c r="B122" s="413" t="s">
        <v>645</v>
      </c>
      <c r="C122" s="413"/>
      <c r="E122" s="233">
        <v>297</v>
      </c>
      <c r="F122" s="413" t="s">
        <v>955</v>
      </c>
      <c r="G122" s="413"/>
      <c r="I122" s="233">
        <v>471</v>
      </c>
      <c r="J122" s="234" t="s">
        <v>1258</v>
      </c>
    </row>
    <row r="123" spans="1:10" ht="13.5" customHeight="1">
      <c r="A123" s="233">
        <v>571</v>
      </c>
      <c r="B123" s="413" t="s">
        <v>1439</v>
      </c>
      <c r="C123" s="413"/>
      <c r="E123" s="233">
        <v>588</v>
      </c>
      <c r="F123" s="413" t="s">
        <v>1468</v>
      </c>
      <c r="G123" s="413"/>
      <c r="I123" s="233">
        <v>472</v>
      </c>
      <c r="J123" s="234" t="s">
        <v>1260</v>
      </c>
    </row>
    <row r="124" spans="1:10" ht="13.5" customHeight="1">
      <c r="A124" s="233">
        <v>118</v>
      </c>
      <c r="B124" s="413" t="s">
        <v>647</v>
      </c>
      <c r="C124" s="413"/>
      <c r="E124" s="233">
        <v>299</v>
      </c>
      <c r="F124" s="413" t="s">
        <v>959</v>
      </c>
      <c r="G124" s="413"/>
      <c r="I124" s="233">
        <v>473</v>
      </c>
      <c r="J124" s="234" t="s">
        <v>1262</v>
      </c>
    </row>
    <row r="125" spans="1:10" ht="13.5" customHeight="1">
      <c r="A125" s="233">
        <v>119</v>
      </c>
      <c r="B125" s="413" t="s">
        <v>649</v>
      </c>
      <c r="C125" s="413"/>
      <c r="E125" s="233">
        <v>300</v>
      </c>
      <c r="F125" s="413" t="s">
        <v>961</v>
      </c>
      <c r="G125" s="413"/>
      <c r="I125" s="233">
        <v>474</v>
      </c>
      <c r="J125" s="234" t="s">
        <v>1264</v>
      </c>
    </row>
    <row r="126" spans="1:10" ht="13.5" customHeight="1">
      <c r="A126" s="233">
        <v>120</v>
      </c>
      <c r="B126" s="413" t="s">
        <v>651</v>
      </c>
      <c r="C126" s="413"/>
      <c r="E126" s="233">
        <v>301</v>
      </c>
      <c r="F126" s="413" t="s">
        <v>963</v>
      </c>
      <c r="G126" s="413"/>
      <c r="I126" s="233">
        <v>475</v>
      </c>
      <c r="J126" s="234" t="s">
        <v>1266</v>
      </c>
    </row>
    <row r="127" spans="1:10" ht="13.5" customHeight="1">
      <c r="A127" s="233">
        <v>121</v>
      </c>
      <c r="B127" s="413" t="s">
        <v>653</v>
      </c>
      <c r="C127" s="413"/>
      <c r="E127" s="233">
        <v>302</v>
      </c>
      <c r="F127" s="413" t="s">
        <v>965</v>
      </c>
      <c r="G127" s="413"/>
      <c r="I127" s="233">
        <v>541</v>
      </c>
      <c r="J127" s="234" t="s">
        <v>1383</v>
      </c>
    </row>
    <row r="128" spans="1:10" ht="13.5" customHeight="1">
      <c r="A128" s="233">
        <v>122</v>
      </c>
      <c r="B128" s="413" t="s">
        <v>655</v>
      </c>
      <c r="C128" s="413"/>
      <c r="E128" s="233">
        <v>303</v>
      </c>
      <c r="F128" s="413" t="s">
        <v>967</v>
      </c>
      <c r="G128" s="413"/>
      <c r="I128" s="233">
        <v>476</v>
      </c>
      <c r="J128" s="234" t="s">
        <v>1268</v>
      </c>
    </row>
    <row r="129" spans="1:10" ht="13.5" customHeight="1">
      <c r="A129" s="233">
        <v>123</v>
      </c>
      <c r="B129" s="413" t="s">
        <v>657</v>
      </c>
      <c r="C129" s="413"/>
      <c r="E129" s="233">
        <v>304</v>
      </c>
      <c r="F129" s="413" t="s">
        <v>969</v>
      </c>
      <c r="G129" s="413"/>
      <c r="I129" s="233">
        <v>477</v>
      </c>
      <c r="J129" s="234" t="s">
        <v>1270</v>
      </c>
    </row>
    <row r="130" spans="1:10" ht="13.5" customHeight="1">
      <c r="A130" s="233">
        <v>124</v>
      </c>
      <c r="B130" s="413" t="s">
        <v>659</v>
      </c>
      <c r="C130" s="413"/>
      <c r="E130" s="233">
        <v>306</v>
      </c>
      <c r="F130" s="413" t="s">
        <v>971</v>
      </c>
      <c r="G130" s="413"/>
      <c r="I130" s="233">
        <v>478</v>
      </c>
      <c r="J130" s="234" t="s">
        <v>1272</v>
      </c>
    </row>
    <row r="131" spans="1:10" ht="13.5" customHeight="1">
      <c r="A131" s="233">
        <v>618</v>
      </c>
      <c r="B131" s="413" t="s">
        <v>1520</v>
      </c>
      <c r="C131" s="413"/>
      <c r="E131" s="233">
        <v>307</v>
      </c>
      <c r="F131" s="413" t="s">
        <v>973</v>
      </c>
      <c r="G131" s="413"/>
      <c r="I131" s="233">
        <v>565</v>
      </c>
      <c r="J131" s="234" t="s">
        <v>1427</v>
      </c>
    </row>
    <row r="132" spans="1:10" ht="13.5" customHeight="1">
      <c r="A132" s="233">
        <v>125</v>
      </c>
      <c r="B132" s="413" t="s">
        <v>661</v>
      </c>
      <c r="C132" s="413"/>
      <c r="E132" s="233">
        <v>308</v>
      </c>
      <c r="F132" s="413" t="s">
        <v>975</v>
      </c>
      <c r="G132" s="413"/>
      <c r="I132" s="233">
        <v>558</v>
      </c>
      <c r="J132" s="234" t="s">
        <v>1415</v>
      </c>
    </row>
    <row r="133" spans="1:10" ht="13.5" customHeight="1">
      <c r="A133" s="233">
        <v>569</v>
      </c>
      <c r="B133" s="413" t="s">
        <v>1435</v>
      </c>
      <c r="C133" s="413"/>
      <c r="E133" s="233">
        <v>605</v>
      </c>
      <c r="F133" s="413" t="s">
        <v>1500</v>
      </c>
      <c r="G133" s="413"/>
      <c r="I133" s="233">
        <v>480</v>
      </c>
      <c r="J133" s="234" t="s">
        <v>1274</v>
      </c>
    </row>
    <row r="134" spans="1:10" ht="13.5" customHeight="1">
      <c r="A134" s="235">
        <v>127</v>
      </c>
      <c r="B134" s="414" t="s">
        <v>663</v>
      </c>
      <c r="C134" s="414"/>
      <c r="E134" s="235">
        <v>309</v>
      </c>
      <c r="F134" s="414" t="s">
        <v>977</v>
      </c>
      <c r="G134" s="414"/>
      <c r="I134" s="235">
        <v>481</v>
      </c>
      <c r="J134" s="236" t="s">
        <v>1276</v>
      </c>
    </row>
    <row r="135" spans="1:10" ht="13.5" customHeight="1">
      <c r="A135" s="235">
        <v>129</v>
      </c>
      <c r="B135" s="414" t="s">
        <v>665</v>
      </c>
      <c r="C135" s="414"/>
      <c r="E135" s="235">
        <v>542</v>
      </c>
      <c r="F135" s="414" t="s">
        <v>1385</v>
      </c>
      <c r="G135" s="414"/>
      <c r="I135" s="235">
        <v>483</v>
      </c>
      <c r="J135" s="236" t="s">
        <v>1278</v>
      </c>
    </row>
    <row r="136" spans="1:10" ht="13.5" customHeight="1">
      <c r="A136" s="235">
        <v>604</v>
      </c>
      <c r="B136" s="414" t="s">
        <v>1498</v>
      </c>
      <c r="C136" s="414"/>
      <c r="E136" s="235">
        <v>311</v>
      </c>
      <c r="F136" s="414" t="s">
        <v>981</v>
      </c>
      <c r="G136" s="414"/>
      <c r="I136" s="235">
        <v>484</v>
      </c>
      <c r="J136" s="236" t="s">
        <v>1280</v>
      </c>
    </row>
    <row r="137" spans="1:10" ht="13.5" customHeight="1">
      <c r="A137" s="235">
        <v>130</v>
      </c>
      <c r="B137" s="414" t="s">
        <v>667</v>
      </c>
      <c r="C137" s="414"/>
      <c r="E137" s="235">
        <v>312</v>
      </c>
      <c r="F137" s="414" t="s">
        <v>983</v>
      </c>
      <c r="G137" s="414"/>
      <c r="I137" s="235">
        <v>485</v>
      </c>
      <c r="J137" s="236" t="s">
        <v>1282</v>
      </c>
    </row>
    <row r="138" spans="1:10" ht="13.5" customHeight="1">
      <c r="A138" s="235">
        <v>131</v>
      </c>
      <c r="B138" s="414" t="s">
        <v>669</v>
      </c>
      <c r="C138" s="414"/>
      <c r="E138" s="235">
        <v>313</v>
      </c>
      <c r="F138" s="414" t="s">
        <v>985</v>
      </c>
      <c r="G138" s="414"/>
      <c r="I138" s="235">
        <v>486</v>
      </c>
      <c r="J138" s="236" t="s">
        <v>1284</v>
      </c>
    </row>
    <row r="139" spans="1:10" ht="13.5" customHeight="1">
      <c r="A139" s="235">
        <v>132</v>
      </c>
      <c r="B139" s="414" t="s">
        <v>671</v>
      </c>
      <c r="C139" s="414"/>
      <c r="E139" s="235">
        <v>314</v>
      </c>
      <c r="F139" s="414" t="s">
        <v>987</v>
      </c>
      <c r="G139" s="414"/>
      <c r="I139" s="235">
        <v>487</v>
      </c>
      <c r="J139" s="236" t="s">
        <v>1286</v>
      </c>
    </row>
    <row r="140" spans="1:10" ht="13.5" customHeight="1">
      <c r="A140" s="235">
        <v>134</v>
      </c>
      <c r="B140" s="414" t="s">
        <v>675</v>
      </c>
      <c r="C140" s="414"/>
      <c r="E140" s="235">
        <v>535</v>
      </c>
      <c r="F140" s="414" t="s">
        <v>1372</v>
      </c>
      <c r="G140" s="414"/>
      <c r="I140" s="235">
        <v>488</v>
      </c>
      <c r="J140" s="236" t="s">
        <v>1288</v>
      </c>
    </row>
    <row r="141" spans="1:10" ht="13.5" customHeight="1">
      <c r="A141" s="235">
        <v>135</v>
      </c>
      <c r="B141" s="414" t="s">
        <v>677</v>
      </c>
      <c r="C141" s="414"/>
      <c r="E141" s="235">
        <v>315</v>
      </c>
      <c r="F141" s="414" t="s">
        <v>989</v>
      </c>
      <c r="G141" s="414"/>
      <c r="I141" s="235">
        <v>489</v>
      </c>
      <c r="J141" s="236" t="s">
        <v>1290</v>
      </c>
    </row>
    <row r="142" spans="1:10" ht="13.5" customHeight="1">
      <c r="A142" s="235">
        <v>136</v>
      </c>
      <c r="B142" s="414" t="s">
        <v>679</v>
      </c>
      <c r="C142" s="414"/>
      <c r="E142" s="235">
        <v>316</v>
      </c>
      <c r="F142" s="414" t="s">
        <v>991</v>
      </c>
      <c r="G142" s="414"/>
      <c r="I142" s="235">
        <v>490</v>
      </c>
      <c r="J142" s="236" t="s">
        <v>1292</v>
      </c>
    </row>
    <row r="143" spans="1:10" ht="13.5" customHeight="1">
      <c r="A143" s="235">
        <v>137</v>
      </c>
      <c r="B143" s="414" t="s">
        <v>681</v>
      </c>
      <c r="C143" s="414"/>
      <c r="E143" s="235">
        <v>317</v>
      </c>
      <c r="F143" s="414" t="s">
        <v>993</v>
      </c>
      <c r="G143" s="414"/>
      <c r="I143" s="235">
        <v>491</v>
      </c>
      <c r="J143" s="236" t="s">
        <v>1294</v>
      </c>
    </row>
    <row r="144" spans="1:10" ht="13.5" customHeight="1">
      <c r="A144" s="235">
        <v>138</v>
      </c>
      <c r="B144" s="414" t="s">
        <v>683</v>
      </c>
      <c r="C144" s="414"/>
      <c r="E144" s="235">
        <v>318</v>
      </c>
      <c r="F144" s="414" t="s">
        <v>995</v>
      </c>
      <c r="G144" s="414"/>
      <c r="I144" s="235">
        <v>492</v>
      </c>
      <c r="J144" s="236" t="s">
        <v>1296</v>
      </c>
    </row>
    <row r="145" spans="1:10" ht="13.5" customHeight="1">
      <c r="A145" s="235">
        <v>139</v>
      </c>
      <c r="B145" s="414" t="s">
        <v>685</v>
      </c>
      <c r="C145" s="414"/>
      <c r="E145" s="235">
        <v>320</v>
      </c>
      <c r="F145" s="414" t="s">
        <v>997</v>
      </c>
      <c r="G145" s="414"/>
      <c r="I145" s="235">
        <v>493</v>
      </c>
      <c r="J145" s="236" t="s">
        <v>1298</v>
      </c>
    </row>
    <row r="146" spans="1:10" ht="13.5" customHeight="1">
      <c r="A146" s="235">
        <v>140</v>
      </c>
      <c r="B146" s="414" t="s">
        <v>687</v>
      </c>
      <c r="C146" s="414"/>
      <c r="E146" s="235">
        <v>321</v>
      </c>
      <c r="F146" s="414" t="s">
        <v>999</v>
      </c>
      <c r="G146" s="414"/>
      <c r="I146" s="235">
        <v>494</v>
      </c>
      <c r="J146" s="236" t="s">
        <v>1300</v>
      </c>
    </row>
    <row r="147" spans="1:10" ht="13.5" customHeight="1">
      <c r="A147" s="235">
        <v>141</v>
      </c>
      <c r="B147" s="414" t="s">
        <v>689</v>
      </c>
      <c r="C147" s="414"/>
      <c r="E147" s="235">
        <v>323</v>
      </c>
      <c r="F147" s="414" t="s">
        <v>1001</v>
      </c>
      <c r="G147" s="414"/>
      <c r="I147" s="235">
        <v>495</v>
      </c>
      <c r="J147" s="236" t="s">
        <v>1302</v>
      </c>
    </row>
    <row r="148" spans="1:10" ht="13.5" customHeight="1">
      <c r="A148" s="235">
        <v>510</v>
      </c>
      <c r="B148" s="414" t="s">
        <v>1328</v>
      </c>
      <c r="C148" s="414"/>
      <c r="E148" s="235">
        <v>324</v>
      </c>
      <c r="F148" s="414" t="s">
        <v>1003</v>
      </c>
      <c r="G148" s="414"/>
      <c r="I148" s="235">
        <v>497</v>
      </c>
      <c r="J148" s="236" t="s">
        <v>1304</v>
      </c>
    </row>
    <row r="149" spans="1:10" ht="13.5" customHeight="1">
      <c r="A149" s="235">
        <v>144</v>
      </c>
      <c r="B149" s="414" t="s">
        <v>691</v>
      </c>
      <c r="C149" s="414"/>
      <c r="E149" s="235">
        <v>325</v>
      </c>
      <c r="F149" s="414" t="s">
        <v>1005</v>
      </c>
      <c r="G149" s="414"/>
      <c r="I149" s="235">
        <v>498</v>
      </c>
      <c r="J149" s="236" t="s">
        <v>1306</v>
      </c>
    </row>
    <row r="150" spans="1:10" ht="13.5" customHeight="1">
      <c r="A150" s="235">
        <v>145</v>
      </c>
      <c r="B150" s="414" t="s">
        <v>693</v>
      </c>
      <c r="C150" s="414"/>
      <c r="E150" s="235">
        <v>326</v>
      </c>
      <c r="F150" s="414" t="s">
        <v>1007</v>
      </c>
      <c r="G150" s="414"/>
      <c r="I150" s="235">
        <v>579</v>
      </c>
      <c r="J150" s="236" t="s">
        <v>1453</v>
      </c>
    </row>
    <row r="151" spans="1:10" ht="13.5" customHeight="1">
      <c r="A151" s="235">
        <v>146</v>
      </c>
      <c r="B151" s="414" t="s">
        <v>695</v>
      </c>
      <c r="C151" s="414"/>
      <c r="E151" s="235">
        <v>327</v>
      </c>
      <c r="F151" s="414" t="s">
        <v>1009</v>
      </c>
      <c r="G151" s="414"/>
      <c r="I151" s="235">
        <v>499</v>
      </c>
      <c r="J151" s="236" t="s">
        <v>1308</v>
      </c>
    </row>
    <row r="152" spans="1:10" ht="13.5" customHeight="1">
      <c r="A152" s="235">
        <v>148</v>
      </c>
      <c r="B152" s="414" t="s">
        <v>697</v>
      </c>
      <c r="C152" s="414"/>
      <c r="E152" s="235">
        <v>328</v>
      </c>
      <c r="F152" s="414" t="s">
        <v>1011</v>
      </c>
      <c r="G152" s="414"/>
      <c r="I152" s="235">
        <v>500</v>
      </c>
      <c r="J152" s="236" t="s">
        <v>1310</v>
      </c>
    </row>
    <row r="153" spans="1:10" ht="13.5" customHeight="1">
      <c r="A153" s="235">
        <v>149</v>
      </c>
      <c r="B153" s="414" t="s">
        <v>699</v>
      </c>
      <c r="C153" s="414"/>
      <c r="E153" s="235">
        <v>329</v>
      </c>
      <c r="F153" s="414" t="s">
        <v>1013</v>
      </c>
      <c r="G153" s="414"/>
      <c r="I153" s="235">
        <v>502</v>
      </c>
      <c r="J153" s="236" t="s">
        <v>1312</v>
      </c>
    </row>
    <row r="154" spans="1:10" ht="13.5" customHeight="1">
      <c r="A154" s="235">
        <v>150</v>
      </c>
      <c r="B154" s="414" t="s">
        <v>701</v>
      </c>
      <c r="C154" s="414"/>
      <c r="E154" s="235">
        <v>330</v>
      </c>
      <c r="F154" s="414" t="s">
        <v>1015</v>
      </c>
      <c r="G154" s="414"/>
      <c r="I154" s="235">
        <v>584</v>
      </c>
      <c r="J154" s="236" t="s">
        <v>1460</v>
      </c>
    </row>
    <row r="155" spans="1:10" ht="13.5" customHeight="1">
      <c r="A155" s="235">
        <v>152</v>
      </c>
      <c r="B155" s="414" t="s">
        <v>705</v>
      </c>
      <c r="C155" s="414"/>
      <c r="E155" s="235">
        <v>581</v>
      </c>
      <c r="F155" s="414" t="s">
        <v>1455</v>
      </c>
      <c r="G155" s="414"/>
      <c r="I155" s="235">
        <v>503</v>
      </c>
      <c r="J155" s="236" t="s">
        <v>1314</v>
      </c>
    </row>
    <row r="156" spans="1:10" ht="13.5" customHeight="1">
      <c r="A156" s="235">
        <v>153</v>
      </c>
      <c r="B156" s="414" t="s">
        <v>707</v>
      </c>
      <c r="C156" s="414"/>
      <c r="E156" s="235">
        <v>331</v>
      </c>
      <c r="F156" s="414" t="s">
        <v>1017</v>
      </c>
      <c r="G156" s="414"/>
      <c r="I156" s="235">
        <v>504</v>
      </c>
      <c r="J156" s="236" t="s">
        <v>1316</v>
      </c>
    </row>
    <row r="157" spans="1:10" ht="13.5" customHeight="1">
      <c r="A157" s="235">
        <v>154</v>
      </c>
      <c r="B157" s="414" t="s">
        <v>709</v>
      </c>
      <c r="C157" s="414"/>
      <c r="E157" s="235">
        <v>332</v>
      </c>
      <c r="F157" s="414" t="s">
        <v>1019</v>
      </c>
      <c r="G157" s="414"/>
      <c r="I157" s="235">
        <v>505</v>
      </c>
      <c r="J157" s="236" t="s">
        <v>1318</v>
      </c>
    </row>
    <row r="158" spans="1:10" ht="13.5" customHeight="1">
      <c r="A158" s="235">
        <v>155</v>
      </c>
      <c r="B158" s="414" t="s">
        <v>711</v>
      </c>
      <c r="C158" s="414"/>
      <c r="E158" s="235">
        <v>333</v>
      </c>
      <c r="F158" s="414" t="s">
        <v>1021</v>
      </c>
      <c r="G158" s="414"/>
      <c r="I158" s="235">
        <v>506</v>
      </c>
      <c r="J158" s="236" t="s">
        <v>1320</v>
      </c>
    </row>
    <row r="159" spans="1:10" ht="13.5" customHeight="1">
      <c r="A159" s="235">
        <v>156</v>
      </c>
      <c r="B159" s="414" t="s">
        <v>713</v>
      </c>
      <c r="C159" s="414"/>
      <c r="E159" s="235">
        <v>334</v>
      </c>
      <c r="F159" s="414" t="s">
        <v>1023</v>
      </c>
      <c r="G159" s="414"/>
      <c r="I159" s="235">
        <v>507</v>
      </c>
      <c r="J159" s="236" t="s">
        <v>1322</v>
      </c>
    </row>
    <row r="160" spans="1:10" ht="13.5" customHeight="1">
      <c r="A160" s="235">
        <v>158</v>
      </c>
      <c r="B160" s="414" t="s">
        <v>715</v>
      </c>
      <c r="C160" s="414"/>
      <c r="E160" s="235">
        <v>455</v>
      </c>
      <c r="F160" s="414" t="s">
        <v>1230</v>
      </c>
      <c r="G160" s="414"/>
      <c r="I160" s="235">
        <v>508</v>
      </c>
      <c r="J160" s="236" t="s">
        <v>1324</v>
      </c>
    </row>
    <row r="161" spans="1:10" ht="13.5" customHeight="1">
      <c r="A161" s="235">
        <v>159</v>
      </c>
      <c r="B161" s="414" t="s">
        <v>717</v>
      </c>
      <c r="C161" s="414"/>
      <c r="E161" s="235">
        <v>335</v>
      </c>
      <c r="F161" s="414" t="s">
        <v>1025</v>
      </c>
      <c r="G161" s="414"/>
      <c r="I161" s="235">
        <v>509</v>
      </c>
      <c r="J161" s="236" t="s">
        <v>1326</v>
      </c>
    </row>
    <row r="162" spans="1:10" ht="13.5" customHeight="1">
      <c r="A162" s="235">
        <v>161</v>
      </c>
      <c r="B162" s="414" t="s">
        <v>719</v>
      </c>
      <c r="C162" s="414"/>
      <c r="E162" s="235">
        <v>337</v>
      </c>
      <c r="F162" s="414" t="s">
        <v>1027</v>
      </c>
      <c r="G162" s="414"/>
      <c r="I162" s="235">
        <v>511</v>
      </c>
      <c r="J162" s="236" t="s">
        <v>1330</v>
      </c>
    </row>
    <row r="163" spans="1:10" ht="13.5" customHeight="1">
      <c r="A163" s="235">
        <v>609</v>
      </c>
      <c r="B163" s="414" t="s">
        <v>1508</v>
      </c>
      <c r="C163" s="414"/>
      <c r="E163" s="235">
        <v>338</v>
      </c>
      <c r="F163" s="414" t="s">
        <v>1029</v>
      </c>
      <c r="G163" s="414"/>
      <c r="I163" s="235">
        <v>512</v>
      </c>
      <c r="J163" s="236" t="s">
        <v>1332</v>
      </c>
    </row>
    <row r="164" spans="1:10" ht="13.5" customHeight="1">
      <c r="A164" s="235">
        <v>163</v>
      </c>
      <c r="B164" s="414" t="s">
        <v>721</v>
      </c>
      <c r="C164" s="414"/>
      <c r="E164" s="235">
        <v>339</v>
      </c>
      <c r="F164" s="414" t="s">
        <v>1031</v>
      </c>
      <c r="G164" s="414"/>
      <c r="I164" s="235">
        <v>513</v>
      </c>
      <c r="J164" s="236" t="s">
        <v>1334</v>
      </c>
    </row>
    <row r="165" spans="1:10" ht="13.5" customHeight="1">
      <c r="A165" s="235">
        <v>164</v>
      </c>
      <c r="B165" s="414" t="s">
        <v>723</v>
      </c>
      <c r="C165" s="414"/>
      <c r="E165" s="235">
        <v>340</v>
      </c>
      <c r="F165" s="414" t="s">
        <v>1033</v>
      </c>
      <c r="G165" s="414"/>
      <c r="I165" s="235">
        <v>514</v>
      </c>
      <c r="J165" s="236" t="s">
        <v>1336</v>
      </c>
    </row>
    <row r="166" spans="1:10" ht="13.5" customHeight="1">
      <c r="A166" s="235">
        <v>165</v>
      </c>
      <c r="B166" s="414" t="s">
        <v>725</v>
      </c>
      <c r="C166" s="414"/>
      <c r="E166" s="235">
        <v>271</v>
      </c>
      <c r="F166" s="414" t="s">
        <v>909</v>
      </c>
      <c r="G166" s="414"/>
      <c r="I166" s="235">
        <v>516</v>
      </c>
      <c r="J166" s="236" t="s">
        <v>1338</v>
      </c>
    </row>
    <row r="167" spans="1:10" ht="13.5" customHeight="1">
      <c r="A167" s="235">
        <v>599</v>
      </c>
      <c r="B167" s="414" t="s">
        <v>1488</v>
      </c>
      <c r="C167" s="414"/>
      <c r="E167" s="235">
        <v>616</v>
      </c>
      <c r="F167" s="414" t="s">
        <v>1516</v>
      </c>
      <c r="G167" s="414"/>
      <c r="I167" s="235">
        <v>625</v>
      </c>
      <c r="J167" s="236" t="s">
        <v>1534</v>
      </c>
    </row>
    <row r="168" spans="1:10" ht="13.5" customHeight="1">
      <c r="A168" s="235">
        <v>166</v>
      </c>
      <c r="B168" s="414" t="s">
        <v>727</v>
      </c>
      <c r="C168" s="414"/>
      <c r="E168" s="235">
        <v>341</v>
      </c>
      <c r="F168" s="414" t="s">
        <v>1035</v>
      </c>
      <c r="G168" s="414"/>
      <c r="I168" s="235">
        <v>517</v>
      </c>
      <c r="J168" s="236" t="s">
        <v>1340</v>
      </c>
    </row>
    <row r="169" spans="1:10" ht="13.5" customHeight="1">
      <c r="A169" s="235">
        <v>167</v>
      </c>
      <c r="B169" s="414" t="s">
        <v>729</v>
      </c>
      <c r="C169" s="414"/>
      <c r="E169" s="235">
        <v>342</v>
      </c>
      <c r="F169" s="414" t="s">
        <v>1037</v>
      </c>
      <c r="G169" s="414"/>
      <c r="I169" s="235">
        <v>518</v>
      </c>
      <c r="J169" s="236" t="s">
        <v>1342</v>
      </c>
    </row>
    <row r="170" spans="1:10" ht="13.5" customHeight="1">
      <c r="A170" s="235">
        <v>168</v>
      </c>
      <c r="B170" s="414" t="s">
        <v>731</v>
      </c>
      <c r="C170" s="414"/>
      <c r="E170" s="235">
        <v>343</v>
      </c>
      <c r="F170" s="414" t="s">
        <v>1039</v>
      </c>
      <c r="G170" s="414"/>
      <c r="I170" s="235">
        <v>519</v>
      </c>
      <c r="J170" s="236" t="s">
        <v>1344</v>
      </c>
    </row>
    <row r="171" spans="1:10" ht="13.5" customHeight="1">
      <c r="A171" s="235">
        <v>169</v>
      </c>
      <c r="B171" s="414" t="s">
        <v>733</v>
      </c>
      <c r="C171" s="414"/>
      <c r="E171" s="235">
        <v>544</v>
      </c>
      <c r="F171" s="414" t="s">
        <v>1389</v>
      </c>
      <c r="G171" s="414"/>
      <c r="I171" s="235">
        <v>520</v>
      </c>
      <c r="J171" s="236" t="s">
        <v>1346</v>
      </c>
    </row>
    <row r="172" spans="1:10" ht="13.5" customHeight="1">
      <c r="A172" s="235">
        <v>170</v>
      </c>
      <c r="B172" s="414" t="s">
        <v>735</v>
      </c>
      <c r="C172" s="414"/>
      <c r="E172" s="235">
        <v>344</v>
      </c>
      <c r="F172" s="414" t="s">
        <v>1040</v>
      </c>
      <c r="G172" s="414"/>
      <c r="I172" s="235">
        <v>595</v>
      </c>
      <c r="J172" s="236" t="s">
        <v>1480</v>
      </c>
    </row>
    <row r="173" spans="1:10" ht="13.5" customHeight="1">
      <c r="A173" s="235">
        <v>171</v>
      </c>
      <c r="B173" s="414" t="s">
        <v>737</v>
      </c>
      <c r="C173" s="414"/>
      <c r="E173" s="235">
        <v>345</v>
      </c>
      <c r="F173" s="414" t="s">
        <v>1042</v>
      </c>
      <c r="G173" s="414"/>
      <c r="I173" s="235">
        <v>521</v>
      </c>
      <c r="J173" s="236" t="s">
        <v>1348</v>
      </c>
    </row>
    <row r="174" spans="1:10" ht="13.5" customHeight="1">
      <c r="A174" s="235">
        <v>552</v>
      </c>
      <c r="B174" s="414" t="s">
        <v>1403</v>
      </c>
      <c r="C174" s="414"/>
      <c r="E174" s="235">
        <v>346</v>
      </c>
      <c r="F174" s="414" t="s">
        <v>1044</v>
      </c>
      <c r="G174" s="414"/>
      <c r="I174" s="235">
        <v>133</v>
      </c>
      <c r="J174" s="236" t="s">
        <v>673</v>
      </c>
    </row>
    <row r="175" spans="1:10" ht="13.5" customHeight="1">
      <c r="A175" s="235">
        <v>172</v>
      </c>
      <c r="B175" s="414" t="s">
        <v>739</v>
      </c>
      <c r="C175" s="414"/>
      <c r="E175" s="235">
        <v>347</v>
      </c>
      <c r="F175" s="414" t="s">
        <v>1046</v>
      </c>
      <c r="G175" s="414"/>
      <c r="I175" s="235">
        <v>522</v>
      </c>
      <c r="J175" s="236" t="s">
        <v>1350</v>
      </c>
    </row>
    <row r="176" spans="1:10" ht="13.5" customHeight="1">
      <c r="A176" s="235">
        <v>173</v>
      </c>
      <c r="B176" s="414" t="s">
        <v>741</v>
      </c>
      <c r="C176" s="414"/>
      <c r="E176" s="235">
        <v>348</v>
      </c>
      <c r="F176" s="414" t="s">
        <v>1048</v>
      </c>
      <c r="G176" s="414"/>
      <c r="I176" s="235">
        <v>543</v>
      </c>
      <c r="J176" s="236" t="s">
        <v>1387</v>
      </c>
    </row>
    <row r="177" spans="1:10" ht="13.5" customHeight="1">
      <c r="A177" s="235">
        <v>559</v>
      </c>
      <c r="B177" s="414" t="s">
        <v>1417</v>
      </c>
      <c r="C177" s="414"/>
      <c r="E177" s="235">
        <v>349</v>
      </c>
      <c r="F177" s="414" t="s">
        <v>1050</v>
      </c>
      <c r="G177" s="414"/>
      <c r="I177" s="235">
        <v>523</v>
      </c>
      <c r="J177" s="236" t="s">
        <v>1352</v>
      </c>
    </row>
    <row r="178" spans="1:10" ht="13.5" customHeight="1">
      <c r="A178" s="235">
        <v>560</v>
      </c>
      <c r="B178" s="414" t="s">
        <v>1419</v>
      </c>
      <c r="C178" s="414"/>
      <c r="E178" s="235">
        <v>350</v>
      </c>
      <c r="F178" s="414" t="s">
        <v>1052</v>
      </c>
      <c r="G178" s="414"/>
      <c r="I178" s="235">
        <v>524</v>
      </c>
      <c r="J178" s="236" t="s">
        <v>1354</v>
      </c>
    </row>
    <row r="179" spans="1:10" ht="13.5" customHeight="1">
      <c r="A179" s="235">
        <v>623</v>
      </c>
      <c r="B179" s="414" t="s">
        <v>1530</v>
      </c>
      <c r="C179" s="414"/>
      <c r="E179" s="235">
        <v>573</v>
      </c>
      <c r="F179" s="414" t="s">
        <v>1443</v>
      </c>
      <c r="G179" s="414"/>
      <c r="I179" s="235">
        <v>525</v>
      </c>
      <c r="J179" s="236" t="s">
        <v>1356</v>
      </c>
    </row>
    <row r="180" spans="1:10" ht="13.5" customHeight="1">
      <c r="A180" s="235">
        <v>175</v>
      </c>
      <c r="B180" s="414" t="s">
        <v>743</v>
      </c>
      <c r="C180" s="414"/>
      <c r="E180" s="235">
        <v>351</v>
      </c>
      <c r="F180" s="414" t="s">
        <v>1054</v>
      </c>
      <c r="G180" s="414"/>
      <c r="I180" s="235">
        <v>526</v>
      </c>
      <c r="J180" s="236" t="s">
        <v>1358</v>
      </c>
    </row>
    <row r="181" spans="1:10" ht="13.5" customHeight="1">
      <c r="A181" s="235">
        <v>176</v>
      </c>
      <c r="B181" s="414" t="s">
        <v>745</v>
      </c>
      <c r="C181" s="414"/>
      <c r="E181" s="235">
        <v>352</v>
      </c>
      <c r="F181" s="414" t="s">
        <v>1056</v>
      </c>
      <c r="G181" s="414"/>
      <c r="I181" s="235">
        <v>527</v>
      </c>
      <c r="J181" s="236" t="s">
        <v>1360</v>
      </c>
    </row>
    <row r="182" spans="1:10" ht="13.5" customHeight="1">
      <c r="A182" s="235">
        <v>177</v>
      </c>
      <c r="B182" s="414" t="s">
        <v>747</v>
      </c>
      <c r="C182" s="414"/>
      <c r="E182" s="235">
        <v>354</v>
      </c>
      <c r="F182" s="414" t="s">
        <v>1058</v>
      </c>
      <c r="G182" s="414"/>
      <c r="I182" s="235">
        <v>528</v>
      </c>
      <c r="J182" s="236" t="s">
        <v>1362</v>
      </c>
    </row>
    <row r="183" spans="1:10" ht="13.5" customHeight="1">
      <c r="A183" s="235">
        <v>178</v>
      </c>
      <c r="B183" s="414" t="s">
        <v>749</v>
      </c>
      <c r="C183" s="414"/>
      <c r="E183" s="235">
        <v>355</v>
      </c>
      <c r="F183" s="414" t="s">
        <v>1060</v>
      </c>
      <c r="G183" s="414"/>
      <c r="I183" s="235">
        <v>566</v>
      </c>
      <c r="J183" s="236" t="s">
        <v>1429</v>
      </c>
    </row>
    <row r="184" spans="1:10" ht="13.5" customHeight="1">
      <c r="A184" s="235">
        <v>179</v>
      </c>
      <c r="B184" s="414" t="s">
        <v>751</v>
      </c>
      <c r="C184" s="414"/>
      <c r="E184" s="235">
        <v>356</v>
      </c>
      <c r="F184" s="414" t="s">
        <v>1062</v>
      </c>
      <c r="G184" s="414"/>
      <c r="I184" s="235">
        <v>530</v>
      </c>
      <c r="J184" s="236" t="s">
        <v>1364</v>
      </c>
    </row>
    <row r="185" spans="1:10" ht="13.5" customHeight="1">
      <c r="A185" s="235">
        <v>596</v>
      </c>
      <c r="B185" s="414" t="s">
        <v>1482</v>
      </c>
      <c r="C185" s="414"/>
      <c r="E185" s="235">
        <v>589</v>
      </c>
      <c r="F185" s="414" t="s">
        <v>1470</v>
      </c>
      <c r="G185" s="414"/>
      <c r="I185" s="235">
        <v>531</v>
      </c>
      <c r="J185" s="236" t="s">
        <v>1366</v>
      </c>
    </row>
    <row r="186" spans="1:10" ht="13.5" customHeight="1">
      <c r="A186" s="235">
        <v>180</v>
      </c>
      <c r="B186" s="414" t="s">
        <v>753</v>
      </c>
      <c r="C186" s="414"/>
      <c r="E186" s="235">
        <v>620</v>
      </c>
      <c r="F186" s="414" t="s">
        <v>1524</v>
      </c>
      <c r="G186" s="414"/>
      <c r="I186" s="235">
        <v>540</v>
      </c>
      <c r="J186" s="236" t="s">
        <v>1381</v>
      </c>
    </row>
    <row r="187" spans="1:10" ht="13.5" customHeight="1">
      <c r="A187" s="235">
        <v>181</v>
      </c>
      <c r="B187" s="414" t="s">
        <v>755</v>
      </c>
      <c r="C187" s="414"/>
      <c r="E187" s="235">
        <v>590</v>
      </c>
      <c r="F187" s="414" t="s">
        <v>1472</v>
      </c>
      <c r="G187" s="414"/>
      <c r="I187" s="235">
        <v>602</v>
      </c>
      <c r="J187" s="236" t="s">
        <v>1494</v>
      </c>
    </row>
    <row r="188" spans="1:10" ht="13.5" customHeight="1">
      <c r="A188" s="235">
        <v>597</v>
      </c>
      <c r="B188" s="414" t="s">
        <v>1484</v>
      </c>
      <c r="C188" s="414"/>
      <c r="E188" s="235">
        <v>357</v>
      </c>
      <c r="F188" s="414" t="s">
        <v>1064</v>
      </c>
      <c r="G188" s="414"/>
      <c r="I188" s="235">
        <v>534</v>
      </c>
      <c r="J188" s="236" t="s">
        <v>1370</v>
      </c>
    </row>
    <row r="189" spans="1:10" ht="13.5" customHeight="1">
      <c r="A189" s="235">
        <v>183</v>
      </c>
      <c r="B189" s="414" t="s">
        <v>757</v>
      </c>
      <c r="C189" s="414"/>
      <c r="E189" s="235">
        <v>583</v>
      </c>
      <c r="F189" s="414" t="s">
        <v>1445</v>
      </c>
      <c r="G189" s="414"/>
      <c r="I189" s="237"/>
      <c r="J189" s="238"/>
    </row>
    <row r="190" spans="1:10" ht="13.5" customHeight="1">
      <c r="A190" s="239">
        <v>184</v>
      </c>
      <c r="B190" s="415" t="s">
        <v>759</v>
      </c>
      <c r="C190" s="415"/>
      <c r="E190" s="239">
        <v>574</v>
      </c>
      <c r="F190" s="415" t="s">
        <v>1445</v>
      </c>
      <c r="G190" s="415"/>
      <c r="I190" s="240"/>
      <c r="J190" s="241"/>
    </row>
    <row r="191" ht="4.5" customHeight="1"/>
  </sheetData>
  <sheetProtection sheet="1" objects="1" scenarios="1"/>
  <mergeCells count="376">
    <mergeCell ref="B189:C189"/>
    <mergeCell ref="F189:G189"/>
    <mergeCell ref="B190:C190"/>
    <mergeCell ref="F190:G190"/>
    <mergeCell ref="B186:C186"/>
    <mergeCell ref="F186:G186"/>
    <mergeCell ref="B187:C187"/>
    <mergeCell ref="F187:G187"/>
    <mergeCell ref="B188:C188"/>
    <mergeCell ref="F188:G188"/>
    <mergeCell ref="B183:C183"/>
    <mergeCell ref="F183:G183"/>
    <mergeCell ref="B184:C184"/>
    <mergeCell ref="F184:G184"/>
    <mergeCell ref="B185:C185"/>
    <mergeCell ref="F185:G185"/>
    <mergeCell ref="B180:C180"/>
    <mergeCell ref="F180:G180"/>
    <mergeCell ref="B181:C181"/>
    <mergeCell ref="F181:G181"/>
    <mergeCell ref="B182:C182"/>
    <mergeCell ref="F182:G182"/>
    <mergeCell ref="B177:C177"/>
    <mergeCell ref="F177:G177"/>
    <mergeCell ref="B178:C178"/>
    <mergeCell ref="F178:G178"/>
    <mergeCell ref="B179:C179"/>
    <mergeCell ref="F179:G179"/>
    <mergeCell ref="B174:C174"/>
    <mergeCell ref="F174:G174"/>
    <mergeCell ref="B175:C175"/>
    <mergeCell ref="F175:G175"/>
    <mergeCell ref="B176:C176"/>
    <mergeCell ref="F176:G176"/>
    <mergeCell ref="B171:C171"/>
    <mergeCell ref="F171:G171"/>
    <mergeCell ref="B172:C172"/>
    <mergeCell ref="F172:G172"/>
    <mergeCell ref="B173:C173"/>
    <mergeCell ref="F173:G173"/>
    <mergeCell ref="B168:C168"/>
    <mergeCell ref="F168:G168"/>
    <mergeCell ref="B169:C169"/>
    <mergeCell ref="F169:G169"/>
    <mergeCell ref="B170:C170"/>
    <mergeCell ref="F170:G170"/>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59:C159"/>
    <mergeCell ref="F159:G159"/>
    <mergeCell ref="B160:C160"/>
    <mergeCell ref="F160:G160"/>
    <mergeCell ref="B161:C161"/>
    <mergeCell ref="F161:G161"/>
    <mergeCell ref="B156:C156"/>
    <mergeCell ref="F156:G156"/>
    <mergeCell ref="B157:C157"/>
    <mergeCell ref="F157:G157"/>
    <mergeCell ref="B158:C158"/>
    <mergeCell ref="F158:G158"/>
    <mergeCell ref="B153:C153"/>
    <mergeCell ref="F153:G153"/>
    <mergeCell ref="B154:C154"/>
    <mergeCell ref="F154:G154"/>
    <mergeCell ref="B155:C155"/>
    <mergeCell ref="F155:G155"/>
    <mergeCell ref="B150:C150"/>
    <mergeCell ref="F150:G150"/>
    <mergeCell ref="B151:C151"/>
    <mergeCell ref="F151:G151"/>
    <mergeCell ref="B152:C152"/>
    <mergeCell ref="F152:G152"/>
    <mergeCell ref="B147:C147"/>
    <mergeCell ref="F147:G147"/>
    <mergeCell ref="B148:C148"/>
    <mergeCell ref="F148:G148"/>
    <mergeCell ref="B149:C149"/>
    <mergeCell ref="F149:G149"/>
    <mergeCell ref="B144:C144"/>
    <mergeCell ref="F144:G144"/>
    <mergeCell ref="B145:C145"/>
    <mergeCell ref="F145:G145"/>
    <mergeCell ref="B146:C146"/>
    <mergeCell ref="F146:G146"/>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35:C135"/>
    <mergeCell ref="F135:G135"/>
    <mergeCell ref="B136:C136"/>
    <mergeCell ref="F136:G136"/>
    <mergeCell ref="B137:C137"/>
    <mergeCell ref="F137:G137"/>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7:C117"/>
    <mergeCell ref="F117:G117"/>
    <mergeCell ref="B118:C118"/>
    <mergeCell ref="F118:G118"/>
    <mergeCell ref="B119:C119"/>
    <mergeCell ref="F119:G119"/>
    <mergeCell ref="B114:C114"/>
    <mergeCell ref="F114:G114"/>
    <mergeCell ref="B115:C115"/>
    <mergeCell ref="F115:G115"/>
    <mergeCell ref="B116:C116"/>
    <mergeCell ref="F116:G116"/>
    <mergeCell ref="B111:C111"/>
    <mergeCell ref="F111:G111"/>
    <mergeCell ref="B112:C112"/>
    <mergeCell ref="F112:G112"/>
    <mergeCell ref="B113:C113"/>
    <mergeCell ref="F113:G113"/>
    <mergeCell ref="B108:C108"/>
    <mergeCell ref="F108:G108"/>
    <mergeCell ref="B109:C109"/>
    <mergeCell ref="F109:G109"/>
    <mergeCell ref="B110:C110"/>
    <mergeCell ref="F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B90:C90"/>
    <mergeCell ref="F90:G90"/>
    <mergeCell ref="B91:C91"/>
    <mergeCell ref="F91:G91"/>
    <mergeCell ref="B92:C92"/>
    <mergeCell ref="F92:G92"/>
    <mergeCell ref="B87:C87"/>
    <mergeCell ref="F87:G87"/>
    <mergeCell ref="B88:C88"/>
    <mergeCell ref="F88:G88"/>
    <mergeCell ref="B89:C89"/>
    <mergeCell ref="F89:G89"/>
    <mergeCell ref="B84:C84"/>
    <mergeCell ref="F84:G84"/>
    <mergeCell ref="B85:C85"/>
    <mergeCell ref="F85:G85"/>
    <mergeCell ref="B86:C86"/>
    <mergeCell ref="F86:G86"/>
    <mergeCell ref="B81:C81"/>
    <mergeCell ref="F81:G81"/>
    <mergeCell ref="B82:C82"/>
    <mergeCell ref="F82:G82"/>
    <mergeCell ref="B83:C83"/>
    <mergeCell ref="F83:G83"/>
    <mergeCell ref="B78:C78"/>
    <mergeCell ref="F78:G78"/>
    <mergeCell ref="B79:C79"/>
    <mergeCell ref="F79:G79"/>
    <mergeCell ref="B80:C80"/>
    <mergeCell ref="F80:G80"/>
    <mergeCell ref="B75:C75"/>
    <mergeCell ref="F75:G75"/>
    <mergeCell ref="B76:C76"/>
    <mergeCell ref="F76:G76"/>
    <mergeCell ref="B77:C77"/>
    <mergeCell ref="F77:G77"/>
    <mergeCell ref="B72:C72"/>
    <mergeCell ref="F72:G72"/>
    <mergeCell ref="B73:C73"/>
    <mergeCell ref="F73:G73"/>
    <mergeCell ref="B74:C74"/>
    <mergeCell ref="F74:G74"/>
    <mergeCell ref="B69:C69"/>
    <mergeCell ref="F69:G69"/>
    <mergeCell ref="B70:C70"/>
    <mergeCell ref="F70:G70"/>
    <mergeCell ref="B71:C71"/>
    <mergeCell ref="F71:G71"/>
    <mergeCell ref="B66:C66"/>
    <mergeCell ref="F66:G66"/>
    <mergeCell ref="B67:C67"/>
    <mergeCell ref="F67:G67"/>
    <mergeCell ref="B68:C68"/>
    <mergeCell ref="F68:G68"/>
    <mergeCell ref="B63:C63"/>
    <mergeCell ref="F63:G63"/>
    <mergeCell ref="B64:C64"/>
    <mergeCell ref="F64:G64"/>
    <mergeCell ref="B65:C65"/>
    <mergeCell ref="F65:G65"/>
    <mergeCell ref="B60:C60"/>
    <mergeCell ref="F60:G60"/>
    <mergeCell ref="B61:C61"/>
    <mergeCell ref="F61:G61"/>
    <mergeCell ref="B62:C62"/>
    <mergeCell ref="F62:G62"/>
    <mergeCell ref="B57:C57"/>
    <mergeCell ref="F57:G57"/>
    <mergeCell ref="B58:C58"/>
    <mergeCell ref="F58:G58"/>
    <mergeCell ref="B59:C59"/>
    <mergeCell ref="F59:G59"/>
    <mergeCell ref="B54:C54"/>
    <mergeCell ref="F54:G54"/>
    <mergeCell ref="B55:C55"/>
    <mergeCell ref="F55:G55"/>
    <mergeCell ref="B56:C56"/>
    <mergeCell ref="F56:G56"/>
    <mergeCell ref="B51:C51"/>
    <mergeCell ref="F51:G51"/>
    <mergeCell ref="B52:C52"/>
    <mergeCell ref="F52:G52"/>
    <mergeCell ref="B53:C53"/>
    <mergeCell ref="F53:G53"/>
    <mergeCell ref="B48:C48"/>
    <mergeCell ref="F48:G48"/>
    <mergeCell ref="B49:C49"/>
    <mergeCell ref="F49:G49"/>
    <mergeCell ref="B50:C50"/>
    <mergeCell ref="F50:G50"/>
    <mergeCell ref="B45:C45"/>
    <mergeCell ref="F45:G45"/>
    <mergeCell ref="B46:C46"/>
    <mergeCell ref="F46:G46"/>
    <mergeCell ref="B47:C47"/>
    <mergeCell ref="F47:G47"/>
    <mergeCell ref="B42:C42"/>
    <mergeCell ref="F42:G42"/>
    <mergeCell ref="B43:C43"/>
    <mergeCell ref="F43:G43"/>
    <mergeCell ref="B44:C44"/>
    <mergeCell ref="F44:G44"/>
    <mergeCell ref="B39:C39"/>
    <mergeCell ref="F39:G39"/>
    <mergeCell ref="B40:C40"/>
    <mergeCell ref="F40:G40"/>
    <mergeCell ref="B41:C41"/>
    <mergeCell ref="F41:G41"/>
    <mergeCell ref="B36:C36"/>
    <mergeCell ref="F36:G36"/>
    <mergeCell ref="B37:C37"/>
    <mergeCell ref="F37:G37"/>
    <mergeCell ref="B38:C38"/>
    <mergeCell ref="F38:G38"/>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6:C6"/>
    <mergeCell ref="F6:G6"/>
    <mergeCell ref="B7:C7"/>
    <mergeCell ref="F7:G7"/>
    <mergeCell ref="B8:C8"/>
    <mergeCell ref="F8:G8"/>
    <mergeCell ref="A1:B2"/>
    <mergeCell ref="A3:J3"/>
    <mergeCell ref="B4:C4"/>
    <mergeCell ref="F4:G4"/>
    <mergeCell ref="B5:C5"/>
    <mergeCell ref="F5:G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42.75" customHeight="1">
      <c r="A3" s="416" t="s">
        <v>2912</v>
      </c>
      <c r="B3" s="416"/>
      <c r="C3" s="416"/>
      <c r="D3" s="416"/>
      <c r="E3" s="416"/>
      <c r="F3" s="416"/>
      <c r="G3" s="416"/>
      <c r="H3" s="416"/>
      <c r="I3" s="416"/>
      <c r="J3" s="416"/>
    </row>
    <row r="4" spans="1:10" ht="13.5" customHeight="1">
      <c r="A4" s="40"/>
      <c r="B4" s="40"/>
      <c r="C4" s="40"/>
      <c r="D4" s="40"/>
      <c r="E4" s="40"/>
      <c r="F4" s="40"/>
      <c r="G4" s="40"/>
      <c r="H4" s="40"/>
      <c r="I4" s="40"/>
      <c r="J4" s="40"/>
    </row>
    <row r="5" spans="1:10" ht="13.5" customHeight="1">
      <c r="A5" s="417" t="s">
        <v>2913</v>
      </c>
      <c r="B5" s="417"/>
      <c r="C5" s="417"/>
      <c r="D5" s="417"/>
      <c r="E5" s="40"/>
      <c r="F5" s="40"/>
      <c r="G5" s="40"/>
      <c r="H5" s="40"/>
      <c r="I5" s="40"/>
      <c r="J5" s="40"/>
    </row>
    <row r="6" spans="1:10" ht="13.5" customHeight="1">
      <c r="A6" s="242">
        <v>1</v>
      </c>
      <c r="B6" s="418" t="s">
        <v>471</v>
      </c>
      <c r="C6" s="418"/>
      <c r="D6" s="418"/>
      <c r="E6" s="40"/>
      <c r="F6" s="40"/>
      <c r="G6" s="40"/>
      <c r="H6" s="40"/>
      <c r="I6" s="40"/>
      <c r="J6" s="40"/>
    </row>
    <row r="7" spans="1:10" ht="13.5" customHeight="1">
      <c r="A7" s="243">
        <v>2</v>
      </c>
      <c r="B7" s="419" t="s">
        <v>474</v>
      </c>
      <c r="C7" s="419"/>
      <c r="D7" s="419"/>
      <c r="E7" s="40"/>
      <c r="F7" s="40"/>
      <c r="G7" s="40"/>
      <c r="H7" s="40"/>
      <c r="I7" s="40"/>
      <c r="J7" s="40"/>
    </row>
    <row r="8" spans="1:10" ht="13.5" customHeight="1">
      <c r="A8" s="244">
        <v>3</v>
      </c>
      <c r="B8" s="420" t="s">
        <v>478</v>
      </c>
      <c r="C8" s="420"/>
      <c r="D8" s="420"/>
      <c r="E8" s="40"/>
      <c r="F8" s="40"/>
      <c r="G8" s="40"/>
      <c r="H8" s="40"/>
      <c r="I8" s="40"/>
      <c r="J8" s="40"/>
    </row>
    <row r="9" spans="1:10" ht="13.5" customHeight="1">
      <c r="A9" s="40"/>
      <c r="B9" s="40"/>
      <c r="C9" s="40"/>
      <c r="D9" s="40"/>
      <c r="E9" s="40"/>
      <c r="F9" s="40"/>
      <c r="G9" s="40"/>
      <c r="H9" s="40"/>
      <c r="I9" s="40"/>
      <c r="J9" s="40"/>
    </row>
    <row r="10" spans="1:10" ht="13.5" customHeight="1">
      <c r="A10" s="421" t="s">
        <v>432</v>
      </c>
      <c r="B10" s="421"/>
      <c r="C10" s="421"/>
      <c r="D10" s="421"/>
      <c r="E10" s="421"/>
      <c r="F10" s="421"/>
      <c r="G10" s="421"/>
      <c r="H10" s="40"/>
      <c r="I10" s="40"/>
      <c r="J10" s="40"/>
    </row>
    <row r="11" spans="1:10" ht="13.5" customHeight="1">
      <c r="A11" s="242">
        <v>11</v>
      </c>
      <c r="B11" s="418" t="s">
        <v>331</v>
      </c>
      <c r="C11" s="418"/>
      <c r="D11" s="418"/>
      <c r="E11" s="418"/>
      <c r="F11" s="418"/>
      <c r="G11" s="418"/>
      <c r="H11" s="40"/>
      <c r="I11" s="40"/>
      <c r="J11" s="40"/>
    </row>
    <row r="12" spans="1:10" ht="13.5" customHeight="1">
      <c r="A12" s="243">
        <v>12</v>
      </c>
      <c r="B12" s="419" t="s">
        <v>336</v>
      </c>
      <c r="C12" s="419"/>
      <c r="D12" s="419"/>
      <c r="E12" s="419"/>
      <c r="F12" s="419"/>
      <c r="G12" s="419"/>
      <c r="H12" s="40"/>
      <c r="I12" s="40"/>
      <c r="J12" s="40"/>
    </row>
    <row r="13" spans="1:10" ht="13.5" customHeight="1">
      <c r="A13" s="243">
        <v>13</v>
      </c>
      <c r="B13" s="419" t="s">
        <v>343</v>
      </c>
      <c r="C13" s="419"/>
      <c r="D13" s="419"/>
      <c r="E13" s="419"/>
      <c r="F13" s="419"/>
      <c r="G13" s="419"/>
      <c r="H13" s="40"/>
      <c r="I13" s="40"/>
      <c r="J13" s="40"/>
    </row>
    <row r="14" spans="1:10" ht="13.5" customHeight="1">
      <c r="A14" s="243">
        <v>21</v>
      </c>
      <c r="B14" s="419" t="s">
        <v>348</v>
      </c>
      <c r="C14" s="419"/>
      <c r="D14" s="419"/>
      <c r="E14" s="419"/>
      <c r="F14" s="419"/>
      <c r="G14" s="419"/>
      <c r="H14" s="40"/>
      <c r="I14" s="40"/>
      <c r="J14" s="40"/>
    </row>
    <row r="15" spans="1:10" ht="13.5" customHeight="1">
      <c r="A15" s="243">
        <v>22</v>
      </c>
      <c r="B15" s="419" t="s">
        <v>355</v>
      </c>
      <c r="C15" s="419"/>
      <c r="D15" s="419"/>
      <c r="E15" s="419"/>
      <c r="F15" s="419"/>
      <c r="G15" s="419"/>
      <c r="H15" s="40"/>
      <c r="I15" s="40"/>
      <c r="J15" s="40"/>
    </row>
    <row r="16" spans="1:10" ht="13.5" customHeight="1">
      <c r="A16" s="243">
        <v>31</v>
      </c>
      <c r="B16" s="419" t="s">
        <v>360</v>
      </c>
      <c r="C16" s="419"/>
      <c r="D16" s="419"/>
      <c r="E16" s="419"/>
      <c r="F16" s="419"/>
      <c r="G16" s="419"/>
      <c r="H16" s="40"/>
      <c r="I16" s="40"/>
      <c r="J16" s="40"/>
    </row>
    <row r="17" spans="1:10" ht="13.5" customHeight="1">
      <c r="A17" s="243">
        <v>41</v>
      </c>
      <c r="B17" s="419" t="s">
        <v>366</v>
      </c>
      <c r="C17" s="419"/>
      <c r="D17" s="419"/>
      <c r="E17" s="419"/>
      <c r="F17" s="419"/>
      <c r="G17" s="419"/>
      <c r="H17" s="40"/>
      <c r="I17" s="40"/>
      <c r="J17" s="40"/>
    </row>
    <row r="18" spans="1:10" ht="13.5" customHeight="1">
      <c r="A18" s="244">
        <v>42</v>
      </c>
      <c r="B18" s="420" t="s">
        <v>371</v>
      </c>
      <c r="C18" s="420"/>
      <c r="D18" s="420"/>
      <c r="E18" s="420"/>
      <c r="F18" s="420"/>
      <c r="G18" s="420"/>
      <c r="H18" s="40"/>
      <c r="I18" s="40"/>
      <c r="J18" s="40"/>
    </row>
    <row r="19" spans="1:10" ht="13.5" customHeight="1">
      <c r="A19" s="40"/>
      <c r="B19" s="40"/>
      <c r="C19" s="40"/>
      <c r="D19" s="40"/>
      <c r="E19" s="40"/>
      <c r="F19" s="40"/>
      <c r="G19" s="40"/>
      <c r="H19" s="40"/>
      <c r="I19" s="40"/>
      <c r="J19" s="40"/>
    </row>
    <row r="20" spans="1:10" ht="13.5" customHeight="1">
      <c r="A20" s="421" t="s">
        <v>307</v>
      </c>
      <c r="B20" s="421"/>
      <c r="C20" s="421"/>
      <c r="D20" s="421"/>
      <c r="E20" s="421"/>
      <c r="F20" s="421"/>
      <c r="G20" s="421"/>
      <c r="H20" s="421"/>
      <c r="I20" s="421"/>
      <c r="J20" s="421"/>
    </row>
    <row r="21" spans="1:10" ht="28.5" customHeight="1">
      <c r="A21" s="245">
        <v>10</v>
      </c>
      <c r="B21" s="422" t="s">
        <v>2914</v>
      </c>
      <c r="C21" s="422"/>
      <c r="D21" s="422"/>
      <c r="E21" s="422"/>
      <c r="F21" s="422"/>
      <c r="G21" s="422"/>
      <c r="H21" s="422"/>
      <c r="I21" s="422"/>
      <c r="J21" s="422"/>
    </row>
    <row r="22" spans="1:10" ht="13.5" customHeight="1">
      <c r="A22" s="246">
        <v>11</v>
      </c>
      <c r="B22" s="423" t="s">
        <v>2915</v>
      </c>
      <c r="C22" s="423"/>
      <c r="D22" s="423"/>
      <c r="E22" s="423"/>
      <c r="F22" s="423"/>
      <c r="G22" s="423"/>
      <c r="H22" s="423"/>
      <c r="I22" s="423"/>
      <c r="J22" s="423"/>
    </row>
    <row r="23" spans="1:10" ht="13.5" customHeight="1">
      <c r="A23" s="246">
        <v>20</v>
      </c>
      <c r="B23" s="423" t="s">
        <v>2916</v>
      </c>
      <c r="C23" s="423"/>
      <c r="D23" s="423"/>
      <c r="E23" s="423"/>
      <c r="F23" s="423"/>
      <c r="G23" s="423"/>
      <c r="H23" s="423"/>
      <c r="I23" s="423"/>
      <c r="J23" s="423"/>
    </row>
    <row r="24" spans="1:10" ht="26.25" customHeight="1">
      <c r="A24" s="246">
        <v>21</v>
      </c>
      <c r="B24" s="423" t="s">
        <v>2917</v>
      </c>
      <c r="C24" s="423"/>
      <c r="D24" s="423"/>
      <c r="E24" s="423"/>
      <c r="F24" s="423"/>
      <c r="G24" s="423"/>
      <c r="H24" s="423"/>
      <c r="I24" s="423"/>
      <c r="J24" s="423"/>
    </row>
    <row r="25" spans="1:10" ht="13.5" customHeight="1">
      <c r="A25" s="246">
        <v>30</v>
      </c>
      <c r="B25" s="423" t="s">
        <v>2918</v>
      </c>
      <c r="C25" s="423"/>
      <c r="D25" s="423"/>
      <c r="E25" s="423"/>
      <c r="F25" s="423"/>
      <c r="G25" s="423"/>
      <c r="H25" s="423"/>
      <c r="I25" s="423"/>
      <c r="J25" s="423"/>
    </row>
    <row r="26" spans="1:10" ht="24.75" customHeight="1">
      <c r="A26" s="246">
        <v>31</v>
      </c>
      <c r="B26" s="423" t="s">
        <v>2919</v>
      </c>
      <c r="C26" s="423"/>
      <c r="D26" s="423"/>
      <c r="E26" s="423"/>
      <c r="F26" s="423"/>
      <c r="G26" s="423"/>
      <c r="H26" s="423"/>
      <c r="I26" s="423"/>
      <c r="J26" s="423"/>
    </row>
    <row r="27" spans="1:10" ht="27" customHeight="1">
      <c r="A27" s="246">
        <v>32</v>
      </c>
      <c r="B27" s="423" t="s">
        <v>2920</v>
      </c>
      <c r="C27" s="423"/>
      <c r="D27" s="423"/>
      <c r="E27" s="423"/>
      <c r="F27" s="423"/>
      <c r="G27" s="423"/>
      <c r="H27" s="423"/>
      <c r="I27" s="423"/>
      <c r="J27" s="423"/>
    </row>
    <row r="28" spans="1:10" ht="16.5" customHeight="1">
      <c r="A28" s="246">
        <v>40</v>
      </c>
      <c r="B28" s="423" t="s">
        <v>2921</v>
      </c>
      <c r="C28" s="423"/>
      <c r="D28" s="423"/>
      <c r="E28" s="423"/>
      <c r="F28" s="423"/>
      <c r="G28" s="423"/>
      <c r="H28" s="423"/>
      <c r="I28" s="423"/>
      <c r="J28" s="423"/>
    </row>
    <row r="29" spans="1:10" ht="27.75" customHeight="1">
      <c r="A29" s="247">
        <v>50</v>
      </c>
      <c r="B29" s="424" t="s">
        <v>2922</v>
      </c>
      <c r="C29" s="424"/>
      <c r="D29" s="424"/>
      <c r="E29" s="424"/>
      <c r="F29" s="424"/>
      <c r="G29" s="424"/>
      <c r="H29" s="424"/>
      <c r="I29" s="424"/>
      <c r="J29" s="424"/>
    </row>
    <row r="30" spans="1:10" ht="13.5" customHeight="1">
      <c r="A30" s="40"/>
      <c r="B30" s="40"/>
      <c r="C30" s="40"/>
      <c r="D30" s="40"/>
      <c r="E30" s="40"/>
      <c r="F30" s="40"/>
      <c r="G30" s="40"/>
      <c r="H30" s="40"/>
      <c r="I30" s="40"/>
      <c r="J30" s="40"/>
    </row>
    <row r="31" spans="1:10" ht="13.5" customHeight="1">
      <c r="A31" s="417" t="s">
        <v>2923</v>
      </c>
      <c r="B31" s="417"/>
      <c r="C31" s="417"/>
      <c r="D31" s="417"/>
      <c r="E31" s="417"/>
      <c r="F31" s="417"/>
      <c r="G31" s="417"/>
      <c r="H31" s="417"/>
      <c r="I31" s="417"/>
      <c r="J31" s="417"/>
    </row>
    <row r="32" spans="1:10" ht="13.5" customHeight="1">
      <c r="A32" s="248">
        <v>1</v>
      </c>
      <c r="B32" s="425" t="s">
        <v>330</v>
      </c>
      <c r="C32" s="425"/>
      <c r="D32" s="425"/>
      <c r="E32" s="425"/>
      <c r="F32" s="425"/>
      <c r="G32" s="425"/>
      <c r="H32" s="426" t="s">
        <v>2924</v>
      </c>
      <c r="I32" s="426"/>
      <c r="J32" s="426"/>
    </row>
    <row r="33" spans="1:10" ht="13.5" customHeight="1">
      <c r="A33" s="249">
        <v>2</v>
      </c>
      <c r="B33" s="427" t="s">
        <v>335</v>
      </c>
      <c r="C33" s="427"/>
      <c r="D33" s="427"/>
      <c r="E33" s="427"/>
      <c r="F33" s="427"/>
      <c r="G33" s="427"/>
      <c r="H33" s="426"/>
      <c r="I33" s="426"/>
      <c r="J33" s="426"/>
    </row>
    <row r="34" spans="1:10" ht="13.5" customHeight="1">
      <c r="A34" s="249">
        <v>3</v>
      </c>
      <c r="B34" s="427" t="s">
        <v>342</v>
      </c>
      <c r="C34" s="427"/>
      <c r="D34" s="427"/>
      <c r="E34" s="427"/>
      <c r="F34" s="427"/>
      <c r="G34" s="427"/>
      <c r="H34" s="426"/>
      <c r="I34" s="426"/>
      <c r="J34" s="426"/>
    </row>
    <row r="35" spans="1:10" ht="13.5" customHeight="1">
      <c r="A35" s="249">
        <v>4</v>
      </c>
      <c r="B35" s="427" t="s">
        <v>347</v>
      </c>
      <c r="C35" s="427"/>
      <c r="D35" s="427"/>
      <c r="E35" s="427"/>
      <c r="F35" s="427"/>
      <c r="G35" s="427"/>
      <c r="H35" s="426"/>
      <c r="I35" s="426"/>
      <c r="J35" s="426"/>
    </row>
    <row r="36" spans="1:10" ht="13.5" customHeight="1">
      <c r="A36" s="249">
        <v>5</v>
      </c>
      <c r="B36" s="427" t="s">
        <v>354</v>
      </c>
      <c r="C36" s="427"/>
      <c r="D36" s="427"/>
      <c r="E36" s="427"/>
      <c r="F36" s="427"/>
      <c r="G36" s="427"/>
      <c r="H36" s="426"/>
      <c r="I36" s="426"/>
      <c r="J36" s="426"/>
    </row>
    <row r="37" spans="1:10" ht="13.5" customHeight="1">
      <c r="A37" s="249">
        <v>6</v>
      </c>
      <c r="B37" s="427" t="s">
        <v>359</v>
      </c>
      <c r="C37" s="427"/>
      <c r="D37" s="427"/>
      <c r="E37" s="427"/>
      <c r="F37" s="427"/>
      <c r="G37" s="427"/>
      <c r="H37" s="426"/>
      <c r="I37" s="426"/>
      <c r="J37" s="426"/>
    </row>
    <row r="38" spans="1:10" ht="13.5" customHeight="1">
      <c r="A38" s="249">
        <v>11</v>
      </c>
      <c r="B38" s="427" t="s">
        <v>387</v>
      </c>
      <c r="C38" s="427"/>
      <c r="D38" s="427"/>
      <c r="E38" s="427"/>
      <c r="F38" s="427"/>
      <c r="G38" s="427"/>
      <c r="H38" s="426"/>
      <c r="I38" s="426"/>
      <c r="J38" s="426"/>
    </row>
    <row r="39" spans="1:10" ht="13.5" customHeight="1">
      <c r="A39" s="250">
        <v>81</v>
      </c>
      <c r="B39" s="428" t="s">
        <v>414</v>
      </c>
      <c r="C39" s="428"/>
      <c r="D39" s="428"/>
      <c r="E39" s="428"/>
      <c r="F39" s="428"/>
      <c r="G39" s="428"/>
      <c r="H39" s="426"/>
      <c r="I39" s="426"/>
      <c r="J39" s="426"/>
    </row>
    <row r="40" spans="1:10" ht="13.5" customHeight="1">
      <c r="A40" s="251">
        <v>7</v>
      </c>
      <c r="B40" s="429" t="s">
        <v>365</v>
      </c>
      <c r="C40" s="429"/>
      <c r="D40" s="429"/>
      <c r="E40" s="429"/>
      <c r="F40" s="429"/>
      <c r="G40" s="429"/>
      <c r="H40" s="430" t="s">
        <v>2925</v>
      </c>
      <c r="I40" s="430"/>
      <c r="J40" s="430"/>
    </row>
    <row r="41" spans="1:10" ht="13.5" customHeight="1">
      <c r="A41" s="252">
        <v>8</v>
      </c>
      <c r="B41" s="431" t="s">
        <v>370</v>
      </c>
      <c r="C41" s="431"/>
      <c r="D41" s="431"/>
      <c r="E41" s="431"/>
      <c r="F41" s="431"/>
      <c r="G41" s="431"/>
      <c r="H41" s="430"/>
      <c r="I41" s="430"/>
      <c r="J41" s="430"/>
    </row>
    <row r="42" spans="1:10" ht="13.5" customHeight="1">
      <c r="A42" s="253">
        <v>9</v>
      </c>
      <c r="B42" s="431" t="s">
        <v>377</v>
      </c>
      <c r="C42" s="431"/>
      <c r="D42" s="431"/>
      <c r="E42" s="431"/>
      <c r="F42" s="431"/>
      <c r="G42" s="431"/>
      <c r="H42" s="430"/>
      <c r="I42" s="430"/>
      <c r="J42" s="430"/>
    </row>
    <row r="43" spans="1:10" ht="13.5" customHeight="1">
      <c r="A43" s="253">
        <v>10</v>
      </c>
      <c r="B43" s="431" t="s">
        <v>381</v>
      </c>
      <c r="C43" s="431"/>
      <c r="D43" s="431"/>
      <c r="E43" s="431"/>
      <c r="F43" s="431"/>
      <c r="G43" s="431"/>
      <c r="H43" s="430"/>
      <c r="I43" s="430"/>
      <c r="J43" s="430"/>
    </row>
    <row r="44" spans="1:10" ht="13.5" customHeight="1">
      <c r="A44" s="253">
        <v>12</v>
      </c>
      <c r="B44" s="431" t="s">
        <v>391</v>
      </c>
      <c r="C44" s="431"/>
      <c r="D44" s="431"/>
      <c r="E44" s="431"/>
      <c r="F44" s="431"/>
      <c r="G44" s="431"/>
      <c r="H44" s="430"/>
      <c r="I44" s="430"/>
      <c r="J44" s="430"/>
    </row>
    <row r="45" spans="1:10" ht="13.5" customHeight="1">
      <c r="A45" s="253">
        <v>13</v>
      </c>
      <c r="B45" s="431" t="s">
        <v>398</v>
      </c>
      <c r="C45" s="431"/>
      <c r="D45" s="431"/>
      <c r="E45" s="431"/>
      <c r="F45" s="431"/>
      <c r="G45" s="431"/>
      <c r="H45" s="430"/>
      <c r="I45" s="430"/>
      <c r="J45" s="430"/>
    </row>
    <row r="46" spans="1:10" ht="13.5" customHeight="1">
      <c r="A46" s="253">
        <v>14</v>
      </c>
      <c r="B46" s="431" t="s">
        <v>402</v>
      </c>
      <c r="C46" s="431"/>
      <c r="D46" s="431"/>
      <c r="E46" s="431"/>
      <c r="F46" s="431"/>
      <c r="G46" s="431"/>
      <c r="H46" s="430"/>
      <c r="I46" s="430"/>
      <c r="J46" s="430"/>
    </row>
    <row r="47" spans="1:10" ht="13.5" customHeight="1">
      <c r="A47" s="253">
        <v>15</v>
      </c>
      <c r="B47" s="431" t="s">
        <v>410</v>
      </c>
      <c r="C47" s="431"/>
      <c r="D47" s="431"/>
      <c r="E47" s="431"/>
      <c r="F47" s="431"/>
      <c r="G47" s="431"/>
      <c r="H47" s="430"/>
      <c r="I47" s="430"/>
      <c r="J47" s="430"/>
    </row>
    <row r="48" spans="1:10" ht="13.5" customHeight="1">
      <c r="A48" s="254">
        <v>99</v>
      </c>
      <c r="B48" s="432" t="s">
        <v>420</v>
      </c>
      <c r="C48" s="432"/>
      <c r="D48" s="432"/>
      <c r="E48" s="432"/>
      <c r="F48" s="432"/>
      <c r="G48" s="432"/>
      <c r="H48" s="430"/>
      <c r="I48" s="430"/>
      <c r="J48" s="430"/>
    </row>
    <row r="49" spans="1:10" ht="13.5" customHeight="1">
      <c r="A49" s="40"/>
      <c r="B49" s="40"/>
      <c r="C49" s="40"/>
      <c r="D49" s="40"/>
      <c r="E49" s="40"/>
      <c r="F49" s="40"/>
      <c r="G49" s="40"/>
      <c r="H49" s="40"/>
      <c r="I49" s="40"/>
      <c r="J49" s="40"/>
    </row>
    <row r="50" spans="1:10" ht="15" customHeight="1">
      <c r="A50" s="421" t="s">
        <v>2926</v>
      </c>
      <c r="B50" s="421"/>
      <c r="C50" s="421"/>
      <c r="D50" s="421"/>
      <c r="E50" s="421"/>
      <c r="F50" s="421"/>
      <c r="G50" s="421"/>
      <c r="H50" s="421"/>
      <c r="I50" s="421"/>
      <c r="J50" s="421"/>
    </row>
    <row r="51" spans="1:10" ht="87" customHeight="1">
      <c r="A51" s="433" t="s">
        <v>2927</v>
      </c>
      <c r="B51" s="433"/>
      <c r="C51" s="433"/>
      <c r="D51" s="433"/>
      <c r="E51" s="433"/>
      <c r="F51" s="433"/>
      <c r="G51" s="433"/>
      <c r="H51" s="433"/>
      <c r="I51" s="433"/>
      <c r="J51" s="433"/>
    </row>
    <row r="52" spans="1:10" ht="15" customHeight="1">
      <c r="A52" s="434" t="s">
        <v>2928</v>
      </c>
      <c r="B52" s="434"/>
      <c r="C52" s="434"/>
      <c r="D52" s="434"/>
      <c r="E52" s="434" t="s">
        <v>2929</v>
      </c>
      <c r="F52" s="434"/>
      <c r="G52" s="434"/>
      <c r="H52" s="435" t="s">
        <v>2930</v>
      </c>
      <c r="I52" s="435"/>
      <c r="J52" s="435"/>
    </row>
    <row r="53" spans="1:10" ht="15" customHeight="1">
      <c r="A53" s="436" t="s">
        <v>2931</v>
      </c>
      <c r="B53" s="436"/>
      <c r="C53" s="436"/>
      <c r="D53" s="436"/>
      <c r="E53" s="437" t="s">
        <v>2932</v>
      </c>
      <c r="F53" s="437"/>
      <c r="G53" s="437"/>
      <c r="H53" s="438" t="s">
        <v>2933</v>
      </c>
      <c r="I53" s="438"/>
      <c r="J53" s="438"/>
    </row>
    <row r="54" spans="1:10" ht="15" customHeight="1">
      <c r="A54" s="436" t="s">
        <v>2934</v>
      </c>
      <c r="B54" s="436"/>
      <c r="C54" s="436"/>
      <c r="D54" s="436"/>
      <c r="E54" s="437" t="s">
        <v>2935</v>
      </c>
      <c r="F54" s="437"/>
      <c r="G54" s="437"/>
      <c r="H54" s="438" t="s">
        <v>2936</v>
      </c>
      <c r="I54" s="438"/>
      <c r="J54" s="438"/>
    </row>
    <row r="55" spans="1:10" ht="15" customHeight="1">
      <c r="A55" s="436" t="s">
        <v>2937</v>
      </c>
      <c r="B55" s="436"/>
      <c r="C55" s="436"/>
      <c r="D55" s="436"/>
      <c r="E55" s="437" t="s">
        <v>2938</v>
      </c>
      <c r="F55" s="437"/>
      <c r="G55" s="437"/>
      <c r="H55" s="438" t="s">
        <v>2939</v>
      </c>
      <c r="I55" s="438"/>
      <c r="J55" s="438"/>
    </row>
    <row r="56" spans="1:10" ht="5.25" customHeight="1">
      <c r="A56" s="69"/>
      <c r="B56" s="69"/>
      <c r="C56" s="69"/>
      <c r="D56" s="69"/>
      <c r="E56" s="69"/>
      <c r="F56" s="69"/>
      <c r="G56" s="69"/>
      <c r="H56" s="69"/>
      <c r="I56" s="69"/>
      <c r="J56" s="69"/>
    </row>
    <row r="57" spans="1:10" ht="12.75" customHeight="1" hidden="1">
      <c r="A57" s="69"/>
      <c r="B57" s="69"/>
      <c r="C57" s="69"/>
      <c r="D57" s="69"/>
      <c r="E57" s="69"/>
      <c r="F57" s="69"/>
      <c r="G57" s="69"/>
      <c r="H57" s="69"/>
      <c r="I57" s="69"/>
      <c r="J57" s="69"/>
    </row>
    <row r="58" spans="1:10" ht="12.75" customHeight="1" hidden="1">
      <c r="A58" s="69"/>
      <c r="B58" s="69"/>
      <c r="C58" s="69"/>
      <c r="D58" s="69"/>
      <c r="E58" s="69"/>
      <c r="F58" s="69"/>
      <c r="G58" s="69"/>
      <c r="H58" s="69"/>
      <c r="I58" s="69"/>
      <c r="J58" s="69"/>
    </row>
    <row r="59" spans="1:10" ht="12.75" customHeight="1" hidden="1">
      <c r="A59" s="69"/>
      <c r="B59" s="69"/>
      <c r="C59" s="69"/>
      <c r="D59" s="69"/>
      <c r="E59" s="69"/>
      <c r="F59" s="69"/>
      <c r="G59" s="69"/>
      <c r="H59" s="69"/>
      <c r="I59" s="69"/>
      <c r="J59" s="69"/>
    </row>
    <row r="60" spans="1:10" ht="12.75" customHeight="1" hidden="1">
      <c r="A60" s="69"/>
      <c r="B60" s="69"/>
      <c r="C60" s="69"/>
      <c r="D60" s="69"/>
      <c r="E60" s="69"/>
      <c r="F60" s="69"/>
      <c r="G60" s="69"/>
      <c r="H60" s="69"/>
      <c r="I60" s="69"/>
      <c r="J60" s="69"/>
    </row>
  </sheetData>
  <sheetProtection sheet="1" objects="1" scenarios="1"/>
  <mergeCells count="59">
    <mergeCell ref="A55:D55"/>
    <mergeCell ref="E55:G55"/>
    <mergeCell ref="H55:J55"/>
    <mergeCell ref="A53:D53"/>
    <mergeCell ref="E53:G53"/>
    <mergeCell ref="H53:J53"/>
    <mergeCell ref="A54:D54"/>
    <mergeCell ref="E54:G54"/>
    <mergeCell ref="H54:J54"/>
    <mergeCell ref="B48:G48"/>
    <mergeCell ref="A50:J50"/>
    <mergeCell ref="A51:J51"/>
    <mergeCell ref="A52:D52"/>
    <mergeCell ref="E52:G52"/>
    <mergeCell ref="H52:J52"/>
    <mergeCell ref="B39:G39"/>
    <mergeCell ref="B40:G40"/>
    <mergeCell ref="H40:J48"/>
    <mergeCell ref="B41:G41"/>
    <mergeCell ref="B42:G42"/>
    <mergeCell ref="B43:G43"/>
    <mergeCell ref="B44:G44"/>
    <mergeCell ref="B45:G45"/>
    <mergeCell ref="B46:G46"/>
    <mergeCell ref="B47:G47"/>
    <mergeCell ref="B29:J29"/>
    <mergeCell ref="A31:J31"/>
    <mergeCell ref="B32:G32"/>
    <mergeCell ref="H32:J39"/>
    <mergeCell ref="B33:G33"/>
    <mergeCell ref="B34:G34"/>
    <mergeCell ref="B35:G35"/>
    <mergeCell ref="B36:G36"/>
    <mergeCell ref="B37:G37"/>
    <mergeCell ref="B38:G38"/>
    <mergeCell ref="B23:J23"/>
    <mergeCell ref="B24:J24"/>
    <mergeCell ref="B25:J25"/>
    <mergeCell ref="B26:J26"/>
    <mergeCell ref="B27:J27"/>
    <mergeCell ref="B28:J28"/>
    <mergeCell ref="B16:G16"/>
    <mergeCell ref="B17:G17"/>
    <mergeCell ref="B18:G18"/>
    <mergeCell ref="A20:J20"/>
    <mergeCell ref="B21:J21"/>
    <mergeCell ref="B22:J22"/>
    <mergeCell ref="A10:G10"/>
    <mergeCell ref="B11:G11"/>
    <mergeCell ref="B12:G12"/>
    <mergeCell ref="B13:G13"/>
    <mergeCell ref="B14:G14"/>
    <mergeCell ref="B15:G15"/>
    <mergeCell ref="A1:B2"/>
    <mergeCell ref="A3:J3"/>
    <mergeCell ref="A5:D5"/>
    <mergeCell ref="B6:D6"/>
    <mergeCell ref="B7:D7"/>
    <mergeCell ref="B8:D8"/>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3" customHeight="1">
      <c r="A3" s="439" t="s">
        <v>2940</v>
      </c>
      <c r="B3" s="439"/>
      <c r="C3" s="439"/>
      <c r="D3" s="439"/>
      <c r="E3" s="439"/>
      <c r="F3" s="439"/>
      <c r="G3" s="439"/>
      <c r="H3" s="439"/>
      <c r="I3" s="439"/>
      <c r="J3" s="439"/>
    </row>
    <row r="4" spans="1:10" ht="18.75" customHeight="1">
      <c r="A4" s="255" t="s">
        <v>2941</v>
      </c>
      <c r="B4" s="440" t="s">
        <v>2942</v>
      </c>
      <c r="C4" s="440"/>
      <c r="D4" s="440"/>
      <c r="E4" s="440"/>
      <c r="F4" s="440"/>
      <c r="G4" s="440"/>
      <c r="H4" s="440"/>
      <c r="I4" s="440"/>
      <c r="J4" s="440"/>
    </row>
    <row r="5" spans="1:10" ht="18.75" customHeight="1">
      <c r="A5" s="256" t="s">
        <v>2943</v>
      </c>
      <c r="B5" s="441" t="s">
        <v>2944</v>
      </c>
      <c r="C5" s="441"/>
      <c r="D5" s="441"/>
      <c r="E5" s="441"/>
      <c r="F5" s="441"/>
      <c r="G5" s="441"/>
      <c r="H5" s="441"/>
      <c r="I5" s="441"/>
      <c r="J5" s="441"/>
    </row>
    <row r="6" spans="1:10" ht="12.75" customHeight="1" hidden="1">
      <c r="A6" s="256" t="s">
        <v>2945</v>
      </c>
      <c r="B6" s="442" t="s">
        <v>2946</v>
      </c>
      <c r="C6" s="442"/>
      <c r="D6" s="442"/>
      <c r="E6" s="442"/>
      <c r="F6" s="442"/>
      <c r="G6" s="442"/>
      <c r="H6" s="442"/>
      <c r="I6" s="442"/>
      <c r="J6" s="442"/>
    </row>
    <row r="7" spans="1:10" ht="12.75" customHeight="1" hidden="1">
      <c r="A7" s="256" t="s">
        <v>2947</v>
      </c>
      <c r="B7" s="442" t="s">
        <v>2948</v>
      </c>
      <c r="C7" s="442"/>
      <c r="D7" s="442"/>
      <c r="E7" s="442"/>
      <c r="F7" s="442"/>
      <c r="G7" s="442"/>
      <c r="H7" s="442"/>
      <c r="I7" s="442"/>
      <c r="J7" s="442"/>
    </row>
    <row r="8" spans="1:10" ht="12.75" customHeight="1" hidden="1">
      <c r="A8" s="256" t="s">
        <v>2949</v>
      </c>
      <c r="B8" s="442" t="s">
        <v>2950</v>
      </c>
      <c r="C8" s="442"/>
      <c r="D8" s="442"/>
      <c r="E8" s="442"/>
      <c r="F8" s="442"/>
      <c r="G8" s="442"/>
      <c r="H8" s="442"/>
      <c r="I8" s="442"/>
      <c r="J8" s="442"/>
    </row>
    <row r="9" spans="1:10" ht="12.75" customHeight="1" hidden="1">
      <c r="A9" s="256" t="s">
        <v>2951</v>
      </c>
      <c r="B9" s="442" t="s">
        <v>2952</v>
      </c>
      <c r="C9" s="442"/>
      <c r="D9" s="442"/>
      <c r="E9" s="442"/>
      <c r="F9" s="442"/>
      <c r="G9" s="442"/>
      <c r="H9" s="442"/>
      <c r="I9" s="442"/>
      <c r="J9" s="442"/>
    </row>
    <row r="10" spans="1:10" ht="12.75" customHeight="1" hidden="1">
      <c r="A10" s="256" t="s">
        <v>2951</v>
      </c>
      <c r="B10" s="442" t="s">
        <v>2953</v>
      </c>
      <c r="C10" s="442"/>
      <c r="D10" s="442"/>
      <c r="E10" s="442"/>
      <c r="F10" s="442"/>
      <c r="G10" s="442"/>
      <c r="H10" s="442"/>
      <c r="I10" s="442"/>
      <c r="J10" s="442"/>
    </row>
    <row r="11" spans="1:10" ht="12.75" customHeight="1" hidden="1">
      <c r="A11" s="256" t="s">
        <v>2951</v>
      </c>
      <c r="B11" s="442" t="s">
        <v>2954</v>
      </c>
      <c r="C11" s="442"/>
      <c r="D11" s="442"/>
      <c r="E11" s="442"/>
      <c r="F11" s="442"/>
      <c r="G11" s="442"/>
      <c r="H11" s="442"/>
      <c r="I11" s="442"/>
      <c r="J11" s="442"/>
    </row>
    <row r="12" spans="1:10" ht="12.75" customHeight="1" hidden="1">
      <c r="A12" s="256" t="s">
        <v>2951</v>
      </c>
      <c r="B12" s="442" t="s">
        <v>2955</v>
      </c>
      <c r="C12" s="442"/>
      <c r="D12" s="442"/>
      <c r="E12" s="442"/>
      <c r="F12" s="442"/>
      <c r="G12" s="442"/>
      <c r="H12" s="442"/>
      <c r="I12" s="442"/>
      <c r="J12" s="442"/>
    </row>
    <row r="13" spans="1:10" ht="12.75" customHeight="1" hidden="1">
      <c r="A13" s="256" t="s">
        <v>2951</v>
      </c>
      <c r="B13" s="442" t="s">
        <v>2956</v>
      </c>
      <c r="C13" s="442"/>
      <c r="D13" s="442"/>
      <c r="E13" s="442"/>
      <c r="F13" s="442"/>
      <c r="G13" s="442"/>
      <c r="H13" s="442"/>
      <c r="I13" s="442"/>
      <c r="J13" s="442"/>
    </row>
    <row r="14" spans="1:10" ht="12.75" customHeight="1" hidden="1">
      <c r="A14" s="256" t="s">
        <v>2957</v>
      </c>
      <c r="B14" s="442" t="s">
        <v>2958</v>
      </c>
      <c r="C14" s="442"/>
      <c r="D14" s="442"/>
      <c r="E14" s="442"/>
      <c r="F14" s="442"/>
      <c r="G14" s="442"/>
      <c r="H14" s="442"/>
      <c r="I14" s="442"/>
      <c r="J14" s="442"/>
    </row>
    <row r="15" spans="1:10" ht="12.75" customHeight="1" hidden="1">
      <c r="A15" s="256" t="s">
        <v>2957</v>
      </c>
      <c r="B15" s="442" t="s">
        <v>2959</v>
      </c>
      <c r="C15" s="442"/>
      <c r="D15" s="442"/>
      <c r="E15" s="442"/>
      <c r="F15" s="442"/>
      <c r="G15" s="442"/>
      <c r="H15" s="442"/>
      <c r="I15" s="442"/>
      <c r="J15" s="442"/>
    </row>
    <row r="16" spans="1:10" ht="12.75" customHeight="1" hidden="1">
      <c r="A16" s="256" t="s">
        <v>2960</v>
      </c>
      <c r="B16" s="442" t="s">
        <v>2961</v>
      </c>
      <c r="C16" s="442"/>
      <c r="D16" s="442"/>
      <c r="E16" s="442"/>
      <c r="F16" s="442"/>
      <c r="G16" s="442"/>
      <c r="H16" s="442"/>
      <c r="I16" s="442"/>
      <c r="J16" s="442"/>
    </row>
    <row r="17" spans="1:10" ht="12.75" customHeight="1" hidden="1">
      <c r="A17" s="256" t="s">
        <v>2960</v>
      </c>
      <c r="B17" s="442" t="s">
        <v>2962</v>
      </c>
      <c r="C17" s="442"/>
      <c r="D17" s="442"/>
      <c r="E17" s="442"/>
      <c r="F17" s="442"/>
      <c r="G17" s="442"/>
      <c r="H17" s="442"/>
      <c r="I17" s="442"/>
      <c r="J17" s="442"/>
    </row>
    <row r="18" spans="1:10" ht="12.75" customHeight="1" hidden="1">
      <c r="A18" s="256" t="s">
        <v>2960</v>
      </c>
      <c r="B18" s="442" t="s">
        <v>2963</v>
      </c>
      <c r="C18" s="442"/>
      <c r="D18" s="442"/>
      <c r="E18" s="442"/>
      <c r="F18" s="442"/>
      <c r="G18" s="442"/>
      <c r="H18" s="442"/>
      <c r="I18" s="442"/>
      <c r="J18" s="442"/>
    </row>
    <row r="19" spans="1:10" ht="12.75" customHeight="1" hidden="1">
      <c r="A19" s="256" t="s">
        <v>2964</v>
      </c>
      <c r="B19" s="442" t="s">
        <v>2965</v>
      </c>
      <c r="C19" s="442"/>
      <c r="D19" s="442"/>
      <c r="E19" s="442"/>
      <c r="F19" s="442"/>
      <c r="G19" s="442"/>
      <c r="H19" s="442"/>
      <c r="I19" s="442"/>
      <c r="J19" s="442"/>
    </row>
    <row r="20" spans="1:10" ht="12.75" customHeight="1" hidden="1">
      <c r="A20" s="256" t="s">
        <v>2964</v>
      </c>
      <c r="B20" s="442" t="s">
        <v>2966</v>
      </c>
      <c r="C20" s="442"/>
      <c r="D20" s="442"/>
      <c r="E20" s="442"/>
      <c r="F20" s="442"/>
      <c r="G20" s="442"/>
      <c r="H20" s="442"/>
      <c r="I20" s="442"/>
      <c r="J20" s="442"/>
    </row>
    <row r="21" spans="1:10" ht="12.75" customHeight="1" hidden="1">
      <c r="A21" s="256" t="s">
        <v>2964</v>
      </c>
      <c r="B21" s="442" t="s">
        <v>2967</v>
      </c>
      <c r="C21" s="442"/>
      <c r="D21" s="442"/>
      <c r="E21" s="442"/>
      <c r="F21" s="442"/>
      <c r="G21" s="442"/>
      <c r="H21" s="442"/>
      <c r="I21" s="442"/>
      <c r="J21" s="442"/>
    </row>
    <row r="22" spans="1:10" ht="12.75" customHeight="1" hidden="1">
      <c r="A22" s="256" t="s">
        <v>2964</v>
      </c>
      <c r="B22" s="442" t="s">
        <v>2968</v>
      </c>
      <c r="C22" s="442"/>
      <c r="D22" s="442"/>
      <c r="E22" s="442"/>
      <c r="F22" s="442"/>
      <c r="G22" s="442"/>
      <c r="H22" s="442"/>
      <c r="I22" s="442"/>
      <c r="J22" s="442"/>
    </row>
    <row r="23" spans="1:10" ht="12.75" customHeight="1" hidden="1">
      <c r="A23" s="256" t="s">
        <v>2969</v>
      </c>
      <c r="B23" s="442" t="s">
        <v>2970</v>
      </c>
      <c r="C23" s="442"/>
      <c r="D23" s="442"/>
      <c r="E23" s="442"/>
      <c r="F23" s="442"/>
      <c r="G23" s="442"/>
      <c r="H23" s="442"/>
      <c r="I23" s="442"/>
      <c r="J23" s="442"/>
    </row>
    <row r="24" spans="1:10" ht="12.75" customHeight="1" hidden="1">
      <c r="A24" s="256" t="s">
        <v>2971</v>
      </c>
      <c r="B24" s="442" t="s">
        <v>2972</v>
      </c>
      <c r="C24" s="442"/>
      <c r="D24" s="442"/>
      <c r="E24" s="442"/>
      <c r="F24" s="442"/>
      <c r="G24" s="442"/>
      <c r="H24" s="442"/>
      <c r="I24" s="442"/>
      <c r="J24" s="442"/>
    </row>
    <row r="25" spans="1:10" ht="12.75" customHeight="1" hidden="1">
      <c r="A25" s="256" t="s">
        <v>2973</v>
      </c>
      <c r="B25" s="442" t="s">
        <v>2974</v>
      </c>
      <c r="C25" s="442"/>
      <c r="D25" s="442"/>
      <c r="E25" s="442"/>
      <c r="F25" s="442"/>
      <c r="G25" s="442"/>
      <c r="H25" s="442"/>
      <c r="I25" s="442"/>
      <c r="J25" s="442"/>
    </row>
    <row r="26" spans="1:10" ht="12.75" customHeight="1" hidden="1">
      <c r="A26" s="256" t="s">
        <v>2975</v>
      </c>
      <c r="B26" s="442" t="s">
        <v>2976</v>
      </c>
      <c r="C26" s="442"/>
      <c r="D26" s="442"/>
      <c r="E26" s="442"/>
      <c r="F26" s="442"/>
      <c r="G26" s="442"/>
      <c r="H26" s="442"/>
      <c r="I26" s="442"/>
      <c r="J26" s="442"/>
    </row>
    <row r="27" spans="1:10" ht="30" customHeight="1">
      <c r="A27" s="257" t="s">
        <v>2977</v>
      </c>
      <c r="B27" s="443" t="s">
        <v>2978</v>
      </c>
      <c r="C27" s="443"/>
      <c r="D27" s="443"/>
      <c r="E27" s="443"/>
      <c r="F27" s="443"/>
      <c r="G27" s="443"/>
      <c r="H27" s="443"/>
      <c r="I27" s="443"/>
      <c r="J27" s="443"/>
    </row>
    <row r="28" spans="1:10" ht="32.25" customHeight="1">
      <c r="A28" s="256" t="s">
        <v>2979</v>
      </c>
      <c r="B28" s="442" t="s">
        <v>2980</v>
      </c>
      <c r="C28" s="442"/>
      <c r="D28" s="442"/>
      <c r="E28" s="442"/>
      <c r="F28" s="442"/>
      <c r="G28" s="442"/>
      <c r="H28" s="442"/>
      <c r="I28" s="442"/>
      <c r="J28" s="442"/>
    </row>
    <row r="29" spans="1:10" ht="44.25" customHeight="1">
      <c r="A29" s="256" t="s">
        <v>2981</v>
      </c>
      <c r="B29" s="442" t="s">
        <v>2982</v>
      </c>
      <c r="C29" s="442"/>
      <c r="D29" s="442"/>
      <c r="E29" s="442"/>
      <c r="F29" s="442"/>
      <c r="G29" s="442"/>
      <c r="H29" s="442"/>
      <c r="I29" s="442"/>
      <c r="J29" s="442"/>
    </row>
    <row r="30" spans="1:10" ht="25.5" customHeight="1">
      <c r="A30" s="256" t="s">
        <v>2983</v>
      </c>
      <c r="B30" s="442" t="s">
        <v>2984</v>
      </c>
      <c r="C30" s="442"/>
      <c r="D30" s="442"/>
      <c r="E30" s="442"/>
      <c r="F30" s="442"/>
      <c r="G30" s="442"/>
      <c r="H30" s="442"/>
      <c r="I30" s="442"/>
      <c r="J30" s="442"/>
    </row>
    <row r="31" spans="1:10" ht="72" customHeight="1">
      <c r="A31" s="256" t="s">
        <v>2985</v>
      </c>
      <c r="B31" s="442" t="s">
        <v>2986</v>
      </c>
      <c r="C31" s="442"/>
      <c r="D31" s="442"/>
      <c r="E31" s="442"/>
      <c r="F31" s="442"/>
      <c r="G31" s="442"/>
      <c r="H31" s="442"/>
      <c r="I31" s="442"/>
      <c r="J31" s="442"/>
    </row>
    <row r="32" ht="4.5" customHeight="1"/>
  </sheetData>
  <sheetProtection sheet="1" objects="1" scenarios="1"/>
  <mergeCells count="30">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103</v>
      </c>
      <c r="J1" s="32" t="s">
        <v>104</v>
      </c>
    </row>
    <row r="2" spans="1:10" ht="19.5" customHeight="1">
      <c r="A2" s="258"/>
      <c r="B2" s="258"/>
      <c r="C2" s="33" t="s">
        <v>105</v>
      </c>
      <c r="D2" s="34" t="s">
        <v>106</v>
      </c>
      <c r="E2" s="34" t="s">
        <v>107</v>
      </c>
      <c r="F2" s="34" t="s">
        <v>108</v>
      </c>
      <c r="G2" s="34" t="s">
        <v>109</v>
      </c>
      <c r="H2" s="34" t="s">
        <v>110</v>
      </c>
      <c r="I2" s="35" t="s">
        <v>111</v>
      </c>
      <c r="J2" s="36"/>
    </row>
    <row r="3" spans="1:10" ht="21" customHeight="1">
      <c r="A3" s="259" t="s">
        <v>112</v>
      </c>
      <c r="B3" s="259"/>
      <c r="C3" s="259"/>
      <c r="D3" s="259"/>
      <c r="E3" s="259"/>
      <c r="F3" s="259"/>
      <c r="G3" s="259"/>
      <c r="H3" s="259"/>
      <c r="I3" s="259"/>
      <c r="J3" s="259"/>
    </row>
    <row r="4" spans="1:10" ht="7.5" customHeight="1">
      <c r="A4" s="37"/>
      <c r="B4" s="38"/>
      <c r="C4" s="38"/>
      <c r="D4" s="38"/>
      <c r="E4" s="38"/>
      <c r="F4" s="38"/>
      <c r="G4" s="38"/>
      <c r="H4" s="38"/>
      <c r="I4" s="38"/>
      <c r="J4" s="39"/>
    </row>
    <row r="5" spans="1:10" ht="81.75" customHeight="1">
      <c r="A5" s="260" t="s">
        <v>113</v>
      </c>
      <c r="B5" s="260"/>
      <c r="C5" s="260"/>
      <c r="D5" s="260"/>
      <c r="E5" s="260"/>
      <c r="F5" s="260"/>
      <c r="G5" s="260"/>
      <c r="H5" s="260"/>
      <c r="I5" s="260"/>
      <c r="J5" s="260"/>
    </row>
    <row r="6" spans="1:10" ht="36.75" customHeight="1">
      <c r="A6" s="261" t="s">
        <v>114</v>
      </c>
      <c r="B6" s="261"/>
      <c r="C6" s="261"/>
      <c r="D6" s="261"/>
      <c r="E6" s="261"/>
      <c r="F6" s="261"/>
      <c r="G6" s="261"/>
      <c r="H6" s="261"/>
      <c r="I6" s="261"/>
      <c r="J6" s="261"/>
    </row>
    <row r="7" spans="1:10" ht="66.75" customHeight="1">
      <c r="A7" s="262" t="s">
        <v>115</v>
      </c>
      <c r="B7" s="262"/>
      <c r="C7" s="262"/>
      <c r="D7" s="262"/>
      <c r="E7" s="262"/>
      <c r="F7" s="262"/>
      <c r="G7" s="262"/>
      <c r="H7" s="262"/>
      <c r="I7" s="262"/>
      <c r="J7" s="262"/>
    </row>
    <row r="8" spans="1:10" ht="43.5" customHeight="1">
      <c r="A8" s="262" t="s">
        <v>116</v>
      </c>
      <c r="B8" s="262"/>
      <c r="C8" s="262"/>
      <c r="D8" s="262"/>
      <c r="E8" s="262"/>
      <c r="F8" s="262"/>
      <c r="G8" s="262"/>
      <c r="H8" s="262"/>
      <c r="I8" s="262"/>
      <c r="J8" s="262"/>
    </row>
    <row r="9" spans="1:10" ht="16.5" customHeight="1">
      <c r="A9" s="262" t="s">
        <v>117</v>
      </c>
      <c r="B9" s="262"/>
      <c r="C9" s="262"/>
      <c r="D9" s="262"/>
      <c r="E9" s="262"/>
      <c r="F9" s="262"/>
      <c r="G9" s="262"/>
      <c r="H9" s="262"/>
      <c r="I9" s="262"/>
      <c r="J9" s="262"/>
    </row>
    <row r="10" spans="1:10" ht="4.5" customHeight="1">
      <c r="A10" s="40"/>
      <c r="B10" s="40"/>
      <c r="C10" s="40"/>
      <c r="D10" s="40"/>
      <c r="E10" s="40"/>
      <c r="F10" s="40"/>
      <c r="G10" s="40"/>
      <c r="H10" s="40"/>
      <c r="I10" s="263" t="s">
        <v>118</v>
      </c>
      <c r="J10" s="264" t="s">
        <v>119</v>
      </c>
    </row>
    <row r="11" spans="1:10" ht="27.75" customHeight="1">
      <c r="A11" s="265" t="s">
        <v>120</v>
      </c>
      <c r="B11" s="265"/>
      <c r="C11" s="265"/>
      <c r="D11" s="265"/>
      <c r="E11" s="265"/>
      <c r="F11" s="265"/>
      <c r="G11" s="265"/>
      <c r="H11" s="265"/>
      <c r="I11" s="263"/>
      <c r="J11" s="264"/>
    </row>
    <row r="12" spans="1:10" ht="30" customHeight="1">
      <c r="A12" s="41" t="s">
        <v>121</v>
      </c>
      <c r="B12" s="266" t="s">
        <v>122</v>
      </c>
      <c r="C12" s="266"/>
      <c r="D12" s="266"/>
      <c r="E12" s="266"/>
      <c r="F12" s="266"/>
      <c r="G12" s="266"/>
      <c r="H12" s="266"/>
      <c r="I12" s="42">
        <v>160</v>
      </c>
      <c r="J12" s="43">
        <v>190</v>
      </c>
    </row>
    <row r="13" spans="1:16" ht="30" customHeight="1">
      <c r="A13" s="44" t="s">
        <v>123</v>
      </c>
      <c r="B13" s="267" t="s">
        <v>124</v>
      </c>
      <c r="C13" s="267"/>
      <c r="D13" s="267"/>
      <c r="E13" s="267"/>
      <c r="F13" s="267"/>
      <c r="G13" s="267"/>
      <c r="H13" s="267"/>
      <c r="I13" s="45">
        <v>230</v>
      </c>
      <c r="J13" s="46">
        <v>290</v>
      </c>
      <c r="N13" s="47">
        <f>IF(Opci!C45=1,0,1)</f>
        <v>1</v>
      </c>
      <c r="O13" s="47">
        <f>IF(C18=1,160,IF(C18=2,230,IF(C18=3,290,0)))</f>
        <v>0</v>
      </c>
      <c r="P13" s="47">
        <f>IF(C18=1,190,IF(C18=2,290,IF(C18=3,350,0)))</f>
        <v>0</v>
      </c>
    </row>
    <row r="14" spans="1:14" ht="30" customHeight="1">
      <c r="A14" s="48" t="s">
        <v>125</v>
      </c>
      <c r="B14" s="269" t="s">
        <v>126</v>
      </c>
      <c r="C14" s="269"/>
      <c r="D14" s="269"/>
      <c r="E14" s="269"/>
      <c r="F14" s="269"/>
      <c r="G14" s="269"/>
      <c r="H14" s="269"/>
      <c r="I14" s="49">
        <v>290</v>
      </c>
      <c r="J14" s="50">
        <v>350</v>
      </c>
      <c r="N14" s="47">
        <f>IF(Opci!C43="DA",Novosti!P13*N13,Novosti!O13*N13)</f>
        <v>0</v>
      </c>
    </row>
    <row r="15" spans="1:10" ht="4.5" customHeight="1">
      <c r="A15" s="51"/>
      <c r="B15" s="52"/>
      <c r="C15" s="52"/>
      <c r="D15" s="52"/>
      <c r="E15" s="52"/>
      <c r="F15" s="52"/>
      <c r="G15" s="52"/>
      <c r="H15" s="40"/>
      <c r="I15" s="40"/>
      <c r="J15" s="53"/>
    </row>
    <row r="16" spans="1:14" ht="45" customHeight="1">
      <c r="A16" s="270" t="s">
        <v>127</v>
      </c>
      <c r="B16" s="270"/>
      <c r="C16" s="270"/>
      <c r="D16" s="270"/>
      <c r="E16" s="270"/>
      <c r="F16" s="270"/>
      <c r="G16" s="270"/>
      <c r="H16" s="270"/>
      <c r="I16" s="270"/>
      <c r="J16" s="270"/>
      <c r="N16" s="47" t="str">
        <f>TEXT(N14,"##0,00")</f>
        <v>0,00</v>
      </c>
    </row>
    <row r="17" spans="2:10" ht="4.5" customHeight="1">
      <c r="B17" s="4"/>
      <c r="C17" s="4"/>
      <c r="D17" s="4"/>
      <c r="E17" s="4"/>
      <c r="F17" s="4"/>
      <c r="G17" s="4"/>
      <c r="J17" s="16"/>
    </row>
    <row r="18" spans="1:10" ht="19.5" customHeight="1">
      <c r="A18" s="271" t="s">
        <v>128</v>
      </c>
      <c r="B18" s="271"/>
      <c r="C18" s="54"/>
      <c r="D18" s="4"/>
      <c r="E18" s="4"/>
      <c r="F18" s="4"/>
      <c r="G18" s="4"/>
      <c r="J18" s="16"/>
    </row>
    <row r="19" spans="1:10" ht="13.5" customHeight="1">
      <c r="A19" s="55"/>
      <c r="B19" s="56"/>
      <c r="C19" s="56"/>
      <c r="D19" s="56"/>
      <c r="E19" s="56"/>
      <c r="F19" s="56"/>
      <c r="G19" s="56"/>
      <c r="H19" s="56"/>
      <c r="I19" s="56"/>
      <c r="J19" s="57"/>
    </row>
    <row r="20" spans="2:10" ht="13.5" customHeight="1">
      <c r="B20" s="56"/>
      <c r="C20" s="56"/>
      <c r="D20" s="56"/>
      <c r="E20" s="56"/>
      <c r="F20" s="58" t="s">
        <v>129</v>
      </c>
      <c r="G20" s="56"/>
      <c r="H20" s="272" t="str">
        <f>"= "&amp;MID(N16,1,1)&amp;" "&amp;MID(N16,2,1)&amp;" "&amp;MID(N16,3,1)&amp;" "&amp;MID(N16,4,1)&amp;" "&amp;MID(N16,5,1)&amp;" "&amp;MID(N16,6,1)&amp;"  "</f>
        <v>= 0 , 0 0    </v>
      </c>
      <c r="I20" s="272"/>
      <c r="J20" s="272"/>
    </row>
    <row r="21" spans="1:10" s="62" customFormat="1" ht="13.5" customHeight="1">
      <c r="A21" s="59" t="str">
        <f>IF(Opci!C25&lt;&gt;"",MID(Opci!C25,1,30),"")</f>
        <v>STAMBENO KOMUNALNO GOSPODARSTV</v>
      </c>
      <c r="B21" s="60"/>
      <c r="C21" s="60"/>
      <c r="D21" s="60"/>
      <c r="E21" s="60"/>
      <c r="F21" s="60"/>
      <c r="G21" s="60"/>
      <c r="H21" s="61"/>
      <c r="J21" s="63"/>
    </row>
    <row r="22" spans="1:10" ht="13.5" customHeight="1">
      <c r="A22" s="59" t="str">
        <f>IF(Opci!C29&lt;&gt;"",MID(Opci!C29,1,30),"")</f>
        <v>IVANA GORANA KOVAČIĆA 8</v>
      </c>
      <c r="B22" s="56"/>
      <c r="C22" s="56"/>
      <c r="D22" s="56"/>
      <c r="E22" s="56"/>
      <c r="F22" s="56"/>
      <c r="G22" s="56"/>
      <c r="H22" s="64"/>
      <c r="I22" s="65"/>
      <c r="J22" s="66"/>
    </row>
    <row r="23" spans="1:10" ht="13.5" customHeight="1">
      <c r="A23" s="59" t="str">
        <f>IF(AND(Opci!C27&lt;&gt;"",Opci!F27&lt;&gt;""),MID(Opci!C27&amp;" "&amp;Opci!F27,1,30),"")</f>
        <v>47300 OGULIN</v>
      </c>
      <c r="B23" s="56"/>
      <c r="C23" s="56"/>
      <c r="D23" s="67"/>
      <c r="E23" s="67"/>
      <c r="F23" s="56"/>
      <c r="G23" s="56"/>
      <c r="H23" s="56"/>
      <c r="I23" s="56"/>
      <c r="J23" s="57"/>
    </row>
    <row r="24" spans="1:10" ht="13.5" customHeight="1">
      <c r="A24" s="55"/>
      <c r="C24" s="68"/>
      <c r="D24" s="69"/>
      <c r="E24" s="69"/>
      <c r="F24" s="56"/>
      <c r="G24" s="56"/>
      <c r="H24" s="56"/>
      <c r="I24" s="56"/>
      <c r="J24" s="57"/>
    </row>
    <row r="25" spans="3:10" ht="15.75" customHeight="1">
      <c r="C25" s="273" t="s">
        <v>130</v>
      </c>
      <c r="D25" s="273"/>
      <c r="E25" s="273"/>
      <c r="F25" s="273"/>
      <c r="G25" s="273"/>
      <c r="H25" s="273"/>
      <c r="I25" s="273"/>
      <c r="J25" s="57"/>
    </row>
    <row r="26" spans="3:10" ht="13.5" customHeight="1">
      <c r="C26" s="68"/>
      <c r="D26" s="68"/>
      <c r="E26" s="56"/>
      <c r="F26" s="56"/>
      <c r="G26" s="56"/>
      <c r="H26" s="56"/>
      <c r="I26" s="56"/>
      <c r="J26" s="57"/>
    </row>
    <row r="27" spans="1:10" ht="13.5" customHeight="1">
      <c r="A27" s="70" t="s">
        <v>131</v>
      </c>
      <c r="B27" s="56"/>
      <c r="C27" s="56"/>
      <c r="D27" s="274" t="s">
        <v>132</v>
      </c>
      <c r="E27" s="274"/>
      <c r="F27" s="275" t="str">
        <f>IF(Opci!C23&lt;&gt;""," 7 5 4 3 0 0 0  -  "&amp;MID(Opci!C23,1,1)&amp;" "&amp;MID(Opci!C23,2,1)&amp;" "&amp;MID(Opci!C23,3,1)&amp;" "&amp;MID(Opci!C23,4,1)&amp;" "&amp;MID(Opci!C23,5,1)&amp;" "&amp;MID(Opci!C23,6,1)&amp;" "&amp;MID(Opci!C23,7,1)&amp;" "&amp;MID(Opci!C23,8,1)&amp;" "&amp;MID(Opci!C23,9,1)&amp;" "&amp;MID(Opci!C23,10,1)&amp;" "&amp;MID(Opci!C23,11,1),"")</f>
        <v> 7 5 4 3 0 0 0  -  2 6 2 1 1 1 0 6 5 4 8</v>
      </c>
      <c r="G27" s="275"/>
      <c r="H27" s="275"/>
      <c r="I27" s="275"/>
      <c r="J27" s="275"/>
    </row>
    <row r="28" spans="1:10" ht="13.5" customHeight="1">
      <c r="A28" s="71" t="s">
        <v>133</v>
      </c>
      <c r="B28" s="56"/>
      <c r="C28" s="56"/>
      <c r="D28" s="56"/>
      <c r="E28" s="56"/>
      <c r="F28" s="56"/>
      <c r="G28" s="268" t="str">
        <f>"Javna objava godišnjeg financijskog izvještaja za "&amp;Opci!G14&amp;". godinu"</f>
        <v>Javna objava godišnjeg financijskog izvještaja za 2014. godinu</v>
      </c>
      <c r="H28" s="268"/>
      <c r="I28" s="268"/>
      <c r="J28" s="57"/>
    </row>
    <row r="29" spans="1:10" ht="13.5" customHeight="1">
      <c r="A29" s="71" t="s">
        <v>134</v>
      </c>
      <c r="B29" s="56"/>
      <c r="C29" s="56"/>
      <c r="D29" s="56"/>
      <c r="E29" s="56"/>
      <c r="F29" s="56"/>
      <c r="G29" s="268"/>
      <c r="H29" s="268"/>
      <c r="I29" s="268"/>
      <c r="J29" s="57"/>
    </row>
    <row r="30" spans="1:10" ht="13.5" customHeight="1">
      <c r="A30" s="55"/>
      <c r="B30" s="56"/>
      <c r="C30" s="56"/>
      <c r="D30" s="56"/>
      <c r="E30" s="56"/>
      <c r="F30" s="56"/>
      <c r="G30" s="268"/>
      <c r="H30" s="268"/>
      <c r="I30" s="268"/>
      <c r="J30" s="57"/>
    </row>
    <row r="31" spans="1:10" ht="13.5" customHeight="1">
      <c r="A31" s="55"/>
      <c r="B31" s="56"/>
      <c r="C31" s="56"/>
      <c r="D31" s="56"/>
      <c r="E31" s="56"/>
      <c r="F31" s="56"/>
      <c r="G31" s="268"/>
      <c r="H31" s="268"/>
      <c r="I31" s="268"/>
      <c r="J31" s="57"/>
    </row>
    <row r="32" spans="1:10" ht="13.5" customHeight="1">
      <c r="A32" s="55"/>
      <c r="B32" s="56"/>
      <c r="C32" s="56"/>
      <c r="E32" s="64"/>
      <c r="F32" s="64"/>
      <c r="G32" s="64"/>
      <c r="H32" s="64"/>
      <c r="I32" s="64"/>
      <c r="J32" s="57"/>
    </row>
    <row r="33" spans="1:10" ht="13.5" customHeight="1">
      <c r="A33" s="55"/>
      <c r="B33" s="56"/>
      <c r="C33" s="56"/>
      <c r="D33" s="56"/>
      <c r="E33" s="56"/>
      <c r="F33" s="56"/>
      <c r="G33" s="56"/>
      <c r="H33" s="56"/>
      <c r="I33" s="56"/>
      <c r="J33" s="57"/>
    </row>
    <row r="34" spans="1:10" ht="13.5" customHeight="1">
      <c r="A34" s="55"/>
      <c r="B34" s="56"/>
      <c r="C34" s="56"/>
      <c r="D34" s="56"/>
      <c r="E34" s="56"/>
      <c r="F34" s="56"/>
      <c r="G34" s="56"/>
      <c r="H34" s="56"/>
      <c r="I34" s="56"/>
      <c r="J34" s="57"/>
    </row>
    <row r="35" spans="1:10" ht="13.5" customHeight="1">
      <c r="A35" s="55"/>
      <c r="B35" s="56"/>
      <c r="C35" s="56"/>
      <c r="D35" s="56"/>
      <c r="E35" s="56"/>
      <c r="F35" s="56"/>
      <c r="G35" s="56"/>
      <c r="H35" s="56"/>
      <c r="I35" s="56"/>
      <c r="J35" s="57"/>
    </row>
    <row r="36" spans="1:10" ht="13.5" customHeight="1">
      <c r="A36" s="55"/>
      <c r="B36" s="56"/>
      <c r="C36" s="56"/>
      <c r="D36" s="56"/>
      <c r="E36" s="56"/>
      <c r="F36" s="56"/>
      <c r="G36" s="56"/>
      <c r="H36" s="56"/>
      <c r="I36" s="56"/>
      <c r="J36" s="57"/>
    </row>
    <row r="37" spans="1:10" ht="13.5" customHeight="1">
      <c r="A37" s="55"/>
      <c r="B37" s="56"/>
      <c r="C37" s="56"/>
      <c r="D37" s="56"/>
      <c r="E37" s="56"/>
      <c r="F37" s="56"/>
      <c r="G37" s="56"/>
      <c r="H37" s="56"/>
      <c r="I37" s="56"/>
      <c r="J37" s="57"/>
    </row>
    <row r="38" spans="1:10" ht="13.5" customHeight="1">
      <c r="A38" s="55"/>
      <c r="B38" s="56"/>
      <c r="C38" s="56"/>
      <c r="D38" s="56"/>
      <c r="E38" s="56"/>
      <c r="F38" s="56"/>
      <c r="G38" s="56"/>
      <c r="H38" s="56"/>
      <c r="I38" s="56"/>
      <c r="J38" s="57"/>
    </row>
    <row r="39" spans="1:10" ht="13.5" customHeight="1">
      <c r="A39" s="55"/>
      <c r="B39" s="56"/>
      <c r="C39" s="56"/>
      <c r="D39" s="56"/>
      <c r="E39" s="56"/>
      <c r="F39" s="56"/>
      <c r="G39" s="56"/>
      <c r="H39" s="56"/>
      <c r="I39" s="56"/>
      <c r="J39" s="57"/>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objects="1" scenarios="1"/>
  <mergeCells count="20">
    <mergeCell ref="G28:I31"/>
    <mergeCell ref="B14:H14"/>
    <mergeCell ref="A16:J16"/>
    <mergeCell ref="A18:B18"/>
    <mergeCell ref="H20:J20"/>
    <mergeCell ref="C25:I25"/>
    <mergeCell ref="D27:E27"/>
    <mergeCell ref="F27:J27"/>
    <mergeCell ref="A9:J9"/>
    <mergeCell ref="I10:I11"/>
    <mergeCell ref="J10:J11"/>
    <mergeCell ref="A11:H11"/>
    <mergeCell ref="B12:H12"/>
    <mergeCell ref="B13:H13"/>
    <mergeCell ref="A1:B2"/>
    <mergeCell ref="A3:J3"/>
    <mergeCell ref="A5:J5"/>
    <mergeCell ref="A6:J6"/>
    <mergeCell ref="A7:J7"/>
    <mergeCell ref="A8:J8"/>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8.25" customHeight="1">
      <c r="A3" s="276"/>
      <c r="B3" s="276"/>
      <c r="C3" s="277" t="s">
        <v>135</v>
      </c>
      <c r="D3" s="277"/>
      <c r="E3" s="277"/>
      <c r="F3" s="277"/>
      <c r="G3" s="277"/>
      <c r="H3" s="277"/>
      <c r="I3" s="276" t="str">
        <f>"Verzija "&amp;MID(Skriveni!B4,1,1)&amp;"."&amp;MID(Skriveni!B4,2,1)&amp;"."&amp;MID(Skriveni!B4,3,1)&amp;"."</f>
        <v>Verzija 2.0.4.</v>
      </c>
      <c r="J3" s="276"/>
    </row>
    <row r="4" spans="1:10" ht="36" customHeight="1">
      <c r="A4" s="278" t="s">
        <v>136</v>
      </c>
      <c r="B4" s="278"/>
      <c r="C4" s="278"/>
      <c r="D4" s="278"/>
      <c r="E4" s="278"/>
      <c r="F4" s="278"/>
      <c r="G4" s="278"/>
      <c r="H4" s="278"/>
      <c r="I4" s="278"/>
      <c r="J4" s="278"/>
    </row>
    <row r="5" spans="1:10" ht="15.75" customHeight="1">
      <c r="A5" s="279" t="s">
        <v>137</v>
      </c>
      <c r="B5" s="279"/>
      <c r="C5" s="279"/>
      <c r="D5" s="279"/>
      <c r="E5" s="279"/>
      <c r="F5" s="279"/>
      <c r="G5" s="279"/>
      <c r="H5" s="279"/>
      <c r="I5" s="279"/>
      <c r="J5" s="279"/>
    </row>
    <row r="6" spans="1:10" ht="51" customHeight="1">
      <c r="A6" s="280" t="s">
        <v>138</v>
      </c>
      <c r="B6" s="280"/>
      <c r="C6" s="280"/>
      <c r="D6" s="280"/>
      <c r="E6" s="280"/>
      <c r="F6" s="280"/>
      <c r="G6" s="280"/>
      <c r="H6" s="280"/>
      <c r="I6" s="280"/>
      <c r="J6" s="280"/>
    </row>
    <row r="7" spans="1:10" ht="89.25" customHeight="1">
      <c r="A7" s="280" t="s">
        <v>139</v>
      </c>
      <c r="B7" s="280"/>
      <c r="C7" s="280"/>
      <c r="D7" s="280"/>
      <c r="E7" s="280"/>
      <c r="F7" s="280"/>
      <c r="G7" s="280"/>
      <c r="H7" s="280"/>
      <c r="I7" s="280"/>
      <c r="J7" s="280"/>
    </row>
    <row r="8" spans="1:10" ht="75" customHeight="1">
      <c r="A8" s="281" t="s">
        <v>140</v>
      </c>
      <c r="B8" s="281"/>
      <c r="C8" s="281"/>
      <c r="D8" s="281"/>
      <c r="E8" s="281"/>
      <c r="F8" s="281"/>
      <c r="G8" s="281"/>
      <c r="H8" s="281"/>
      <c r="I8" s="281"/>
      <c r="J8" s="281"/>
    </row>
    <row r="9" spans="1:10" ht="98.25" customHeight="1">
      <c r="A9" s="280" t="s">
        <v>141</v>
      </c>
      <c r="B9" s="280"/>
      <c r="C9" s="280"/>
      <c r="D9" s="280"/>
      <c r="E9" s="280"/>
      <c r="F9" s="280"/>
      <c r="G9" s="280"/>
      <c r="H9" s="280"/>
      <c r="I9" s="280"/>
      <c r="J9" s="280"/>
    </row>
    <row r="10" spans="1:10" s="73" customFormat="1" ht="40.5" customHeight="1">
      <c r="A10" s="280" t="s">
        <v>142</v>
      </c>
      <c r="B10" s="280"/>
      <c r="C10" s="280"/>
      <c r="D10" s="280"/>
      <c r="E10" s="280"/>
      <c r="F10" s="280"/>
      <c r="G10" s="280"/>
      <c r="H10" s="280"/>
      <c r="I10" s="280"/>
      <c r="J10" s="280"/>
    </row>
    <row r="11" spans="1:10" ht="42.75" customHeight="1">
      <c r="A11" s="280" t="s">
        <v>143</v>
      </c>
      <c r="B11" s="280"/>
      <c r="C11" s="280"/>
      <c r="D11" s="280"/>
      <c r="E11" s="280"/>
      <c r="F11" s="280"/>
      <c r="G11" s="280"/>
      <c r="H11" s="280"/>
      <c r="I11" s="280"/>
      <c r="J11" s="280"/>
    </row>
    <row r="12" spans="1:10" ht="15.75" customHeight="1">
      <c r="A12" s="279" t="s">
        <v>144</v>
      </c>
      <c r="B12" s="279"/>
      <c r="C12" s="279"/>
      <c r="D12" s="279"/>
      <c r="E12" s="279"/>
      <c r="F12" s="279"/>
      <c r="G12" s="279"/>
      <c r="H12" s="279"/>
      <c r="I12" s="279"/>
      <c r="J12" s="279"/>
    </row>
    <row r="13" spans="1:10" ht="54.75" customHeight="1">
      <c r="A13" s="282" t="s">
        <v>145</v>
      </c>
      <c r="B13" s="282"/>
      <c r="C13" s="282"/>
      <c r="D13" s="282"/>
      <c r="E13" s="282"/>
      <c r="F13" s="282"/>
      <c r="G13" s="282"/>
      <c r="H13" s="282"/>
      <c r="I13" s="282"/>
      <c r="J13" s="282"/>
    </row>
    <row r="14" spans="1:10" ht="75" customHeight="1">
      <c r="A14" s="282" t="s">
        <v>146</v>
      </c>
      <c r="B14" s="282"/>
      <c r="C14" s="282"/>
      <c r="D14" s="282"/>
      <c r="E14" s="282"/>
      <c r="F14" s="282"/>
      <c r="G14" s="282"/>
      <c r="H14" s="282"/>
      <c r="I14" s="282"/>
      <c r="J14" s="282"/>
    </row>
    <row r="15" spans="1:10" ht="77.25" customHeight="1">
      <c r="A15" s="280" t="s">
        <v>147</v>
      </c>
      <c r="B15" s="280"/>
      <c r="C15" s="280"/>
      <c r="D15" s="280"/>
      <c r="E15" s="280"/>
      <c r="F15" s="280"/>
      <c r="G15" s="280"/>
      <c r="H15" s="280"/>
      <c r="I15" s="280"/>
      <c r="J15" s="280"/>
    </row>
    <row r="16" spans="1:10" ht="33" customHeight="1">
      <c r="A16" s="280" t="s">
        <v>148</v>
      </c>
      <c r="B16" s="280"/>
      <c r="C16" s="280"/>
      <c r="D16" s="280"/>
      <c r="E16" s="280"/>
      <c r="F16" s="280"/>
      <c r="G16" s="280"/>
      <c r="H16" s="280"/>
      <c r="I16" s="280"/>
      <c r="J16" s="280"/>
    </row>
    <row r="17" spans="1:10" ht="53.25" customHeight="1">
      <c r="A17" s="280" t="s">
        <v>149</v>
      </c>
      <c r="B17" s="280"/>
      <c r="C17" s="280"/>
      <c r="D17" s="280"/>
      <c r="E17" s="280"/>
      <c r="F17" s="280"/>
      <c r="G17" s="280"/>
      <c r="H17" s="280"/>
      <c r="I17" s="280"/>
      <c r="J17" s="280"/>
    </row>
    <row r="18" spans="1:10" ht="44.25" customHeight="1">
      <c r="A18" s="280" t="s">
        <v>150</v>
      </c>
      <c r="B18" s="280"/>
      <c r="C18" s="280"/>
      <c r="D18" s="280"/>
      <c r="E18" s="280"/>
      <c r="F18" s="280"/>
      <c r="G18" s="280"/>
      <c r="H18" s="280"/>
      <c r="I18" s="280"/>
      <c r="J18" s="280"/>
    </row>
    <row r="19" spans="1:10" ht="56.25" customHeight="1">
      <c r="A19" s="280" t="s">
        <v>151</v>
      </c>
      <c r="B19" s="280"/>
      <c r="C19" s="280"/>
      <c r="D19" s="280"/>
      <c r="E19" s="280"/>
      <c r="F19" s="280"/>
      <c r="G19" s="280"/>
      <c r="H19" s="280"/>
      <c r="I19" s="280"/>
      <c r="J19" s="280"/>
    </row>
    <row r="20" spans="1:10" ht="79.5" customHeight="1">
      <c r="A20" s="280" t="s">
        <v>152</v>
      </c>
      <c r="B20" s="280"/>
      <c r="C20" s="280"/>
      <c r="D20" s="280"/>
      <c r="E20" s="280"/>
      <c r="F20" s="280"/>
      <c r="G20" s="280"/>
      <c r="H20" s="280"/>
      <c r="I20" s="280"/>
      <c r="J20" s="280"/>
    </row>
    <row r="21" spans="1:10" ht="66" customHeight="1">
      <c r="A21" s="280" t="s">
        <v>153</v>
      </c>
      <c r="B21" s="280"/>
      <c r="C21" s="280"/>
      <c r="D21" s="280"/>
      <c r="E21" s="280"/>
      <c r="F21" s="280"/>
      <c r="G21" s="280"/>
      <c r="H21" s="280"/>
      <c r="I21" s="280"/>
      <c r="J21" s="280"/>
    </row>
    <row r="22" spans="1:10" ht="77.25" customHeight="1">
      <c r="A22" s="280" t="s">
        <v>154</v>
      </c>
      <c r="B22" s="280"/>
      <c r="C22" s="280"/>
      <c r="D22" s="280"/>
      <c r="E22" s="280"/>
      <c r="F22" s="280"/>
      <c r="G22" s="280"/>
      <c r="H22" s="280"/>
      <c r="I22" s="280"/>
      <c r="J22" s="280"/>
    </row>
    <row r="23" spans="1:10" ht="48" customHeight="1">
      <c r="A23" s="280" t="s">
        <v>155</v>
      </c>
      <c r="B23" s="280"/>
      <c r="C23" s="280"/>
      <c r="D23" s="280"/>
      <c r="E23" s="280"/>
      <c r="F23" s="280"/>
      <c r="G23" s="280"/>
      <c r="H23" s="280"/>
      <c r="I23" s="280"/>
      <c r="J23" s="280"/>
    </row>
    <row r="24" spans="1:10" ht="90.75" customHeight="1">
      <c r="A24" s="280" t="s">
        <v>156</v>
      </c>
      <c r="B24" s="280"/>
      <c r="C24" s="280"/>
      <c r="D24" s="280"/>
      <c r="E24" s="280"/>
      <c r="F24" s="280"/>
      <c r="G24" s="280"/>
      <c r="H24" s="280"/>
      <c r="I24" s="280"/>
      <c r="J24" s="280"/>
    </row>
    <row r="25" spans="1:10" ht="63" customHeight="1">
      <c r="A25" s="280" t="s">
        <v>157</v>
      </c>
      <c r="B25" s="280"/>
      <c r="C25" s="280"/>
      <c r="D25" s="280"/>
      <c r="E25" s="280"/>
      <c r="F25" s="280"/>
      <c r="G25" s="280"/>
      <c r="H25" s="280"/>
      <c r="I25" s="280"/>
      <c r="J25" s="280"/>
    </row>
    <row r="26" spans="1:10" ht="64.5" customHeight="1">
      <c r="A26" s="280" t="s">
        <v>158</v>
      </c>
      <c r="B26" s="280"/>
      <c r="C26" s="280"/>
      <c r="D26" s="280"/>
      <c r="E26" s="280"/>
      <c r="F26" s="280"/>
      <c r="G26" s="280"/>
      <c r="H26" s="280"/>
      <c r="I26" s="280"/>
      <c r="J26" s="280"/>
    </row>
    <row r="27" spans="1:10" ht="83.25" customHeight="1">
      <c r="A27" s="280" t="s">
        <v>159</v>
      </c>
      <c r="B27" s="280"/>
      <c r="C27" s="280"/>
      <c r="D27" s="280"/>
      <c r="E27" s="280"/>
      <c r="F27" s="280"/>
      <c r="G27" s="280"/>
      <c r="H27" s="280"/>
      <c r="I27" s="280"/>
      <c r="J27" s="280"/>
    </row>
    <row r="28" spans="1:10" ht="46.5" customHeight="1">
      <c r="A28" s="280" t="s">
        <v>160</v>
      </c>
      <c r="B28" s="280"/>
      <c r="C28" s="280"/>
      <c r="D28" s="280"/>
      <c r="E28" s="280"/>
      <c r="F28" s="280"/>
      <c r="G28" s="280"/>
      <c r="H28" s="280"/>
      <c r="I28" s="280"/>
      <c r="J28" s="280"/>
    </row>
    <row r="29" spans="1:10" ht="57" customHeight="1">
      <c r="A29" s="283" t="s">
        <v>161</v>
      </c>
      <c r="B29" s="283"/>
      <c r="C29" s="283"/>
      <c r="D29" s="283"/>
      <c r="E29" s="283"/>
      <c r="F29" s="283"/>
      <c r="G29" s="283"/>
      <c r="H29" s="283"/>
      <c r="I29" s="283"/>
      <c r="J29" s="283"/>
    </row>
    <row r="30" spans="1:10" ht="16.5" customHeight="1">
      <c r="A30" s="284" t="s">
        <v>162</v>
      </c>
      <c r="B30" s="284"/>
      <c r="C30" s="284"/>
      <c r="D30" s="284"/>
      <c r="E30" s="284"/>
      <c r="F30" s="284"/>
      <c r="G30" s="284"/>
      <c r="H30" s="284"/>
      <c r="I30" s="284"/>
      <c r="J30" s="284"/>
    </row>
    <row r="31" spans="1:10" ht="16.5" customHeight="1">
      <c r="A31" s="285" t="s">
        <v>163</v>
      </c>
      <c r="B31" s="285"/>
      <c r="C31" s="285"/>
      <c r="D31" s="285"/>
      <c r="E31" s="285"/>
      <c r="F31" s="285"/>
      <c r="G31" s="285"/>
      <c r="H31" s="285"/>
      <c r="I31" s="285"/>
      <c r="J31" s="285"/>
    </row>
    <row r="32" spans="1:10" ht="24.75" customHeight="1">
      <c r="A32" s="286" t="s">
        <v>164</v>
      </c>
      <c r="B32" s="286"/>
      <c r="C32" s="286"/>
      <c r="D32" s="286"/>
      <c r="E32" s="286"/>
      <c r="F32" s="286"/>
      <c r="G32" s="286"/>
      <c r="H32" s="286"/>
      <c r="I32" s="286"/>
      <c r="J32" s="286"/>
    </row>
    <row r="33" spans="1:10" ht="26.25" customHeight="1">
      <c r="A33" s="287" t="s">
        <v>165</v>
      </c>
      <c r="B33" s="287"/>
      <c r="C33" s="287"/>
      <c r="D33" s="287"/>
      <c r="E33" s="287"/>
      <c r="F33" s="287"/>
      <c r="G33" s="287"/>
      <c r="H33" s="287"/>
      <c r="I33" s="287"/>
      <c r="J33" s="287"/>
    </row>
    <row r="34" spans="1:10" ht="28.5" customHeight="1">
      <c r="A34" s="288" t="s">
        <v>166</v>
      </c>
      <c r="B34" s="288"/>
      <c r="C34" s="288"/>
      <c r="D34" s="288"/>
      <c r="E34" s="288"/>
      <c r="F34" s="288"/>
      <c r="G34" s="288"/>
      <c r="H34" s="288"/>
      <c r="I34" s="288"/>
      <c r="J34" s="288"/>
    </row>
    <row r="35" spans="1:10" ht="15" customHeight="1">
      <c r="A35" s="287" t="s">
        <v>167</v>
      </c>
      <c r="B35" s="287"/>
      <c r="C35" s="287"/>
      <c r="D35" s="287"/>
      <c r="E35" s="287"/>
      <c r="F35" s="287"/>
      <c r="G35" s="287"/>
      <c r="H35" s="287"/>
      <c r="I35" s="287"/>
      <c r="J35" s="287"/>
    </row>
    <row r="36" spans="1:10" ht="25.5" customHeight="1">
      <c r="A36" s="287" t="s">
        <v>168</v>
      </c>
      <c r="B36" s="287"/>
      <c r="C36" s="287"/>
      <c r="D36" s="287"/>
      <c r="E36" s="287"/>
      <c r="F36" s="287"/>
      <c r="G36" s="287"/>
      <c r="H36" s="287"/>
      <c r="I36" s="287"/>
      <c r="J36" s="287"/>
    </row>
    <row r="37" spans="1:10" ht="73.5" customHeight="1">
      <c r="A37" s="289" t="s">
        <v>169</v>
      </c>
      <c r="B37" s="289"/>
      <c r="C37" s="289"/>
      <c r="D37" s="289"/>
      <c r="E37" s="289"/>
      <c r="F37" s="289"/>
      <c r="G37" s="289"/>
      <c r="H37" s="289"/>
      <c r="I37" s="289"/>
      <c r="J37" s="289"/>
    </row>
    <row r="38" spans="1:10" ht="40.5" customHeight="1">
      <c r="A38" s="290" t="s">
        <v>170</v>
      </c>
      <c r="B38" s="290"/>
      <c r="C38" s="290"/>
      <c r="D38" s="290"/>
      <c r="E38" s="290"/>
      <c r="F38" s="290"/>
      <c r="G38" s="290"/>
      <c r="H38" s="290"/>
      <c r="I38" s="290"/>
      <c r="J38" s="290"/>
    </row>
    <row r="39" spans="1:10" ht="15" customHeight="1">
      <c r="A39" s="290" t="s">
        <v>171</v>
      </c>
      <c r="B39" s="290"/>
      <c r="C39" s="290"/>
      <c r="D39" s="290"/>
      <c r="E39" s="290"/>
      <c r="F39" s="290"/>
      <c r="G39" s="290"/>
      <c r="H39" s="290"/>
      <c r="I39" s="290"/>
      <c r="J39" s="290"/>
    </row>
    <row r="40" spans="1:10" ht="15" customHeight="1">
      <c r="A40" s="289" t="s">
        <v>172</v>
      </c>
      <c r="B40" s="289"/>
      <c r="C40" s="289"/>
      <c r="D40" s="289"/>
      <c r="E40" s="289"/>
      <c r="F40" s="289"/>
      <c r="G40" s="289"/>
      <c r="H40" s="289"/>
      <c r="I40" s="289"/>
      <c r="J40" s="289"/>
    </row>
    <row r="41" spans="1:10" ht="25.5" customHeight="1">
      <c r="A41" s="290" t="s">
        <v>173</v>
      </c>
      <c r="B41" s="290"/>
      <c r="C41" s="290"/>
      <c r="D41" s="290"/>
      <c r="E41" s="290"/>
      <c r="F41" s="290"/>
      <c r="G41" s="290"/>
      <c r="H41" s="290"/>
      <c r="I41" s="290"/>
      <c r="J41" s="290"/>
    </row>
    <row r="42" spans="1:10" ht="27.75" customHeight="1">
      <c r="A42" s="291" t="s">
        <v>174</v>
      </c>
      <c r="B42" s="291"/>
      <c r="C42" s="291"/>
      <c r="D42" s="291"/>
      <c r="E42" s="291"/>
      <c r="F42" s="291"/>
      <c r="G42" s="291"/>
      <c r="H42" s="291"/>
      <c r="I42" s="291"/>
      <c r="J42" s="291"/>
    </row>
    <row r="43" spans="1:10" ht="16.5" customHeight="1">
      <c r="A43" s="292" t="s">
        <v>175</v>
      </c>
      <c r="B43" s="292"/>
      <c r="C43" s="292"/>
      <c r="D43" s="292"/>
      <c r="E43" s="292"/>
      <c r="F43" s="292"/>
      <c r="G43" s="292"/>
      <c r="H43" s="292"/>
      <c r="I43" s="292"/>
      <c r="J43" s="292"/>
    </row>
    <row r="44" spans="1:10" ht="30" customHeight="1">
      <c r="A44" s="293" t="s">
        <v>176</v>
      </c>
      <c r="B44" s="293"/>
      <c r="C44" s="293"/>
      <c r="D44" s="293"/>
      <c r="E44" s="293"/>
      <c r="F44" s="293"/>
      <c r="G44" s="293"/>
      <c r="H44" s="293"/>
      <c r="I44" s="293"/>
      <c r="J44" s="293"/>
    </row>
    <row r="45" spans="1:10" ht="43.5" customHeight="1">
      <c r="A45" s="294" t="s">
        <v>177</v>
      </c>
      <c r="B45" s="294"/>
      <c r="C45" s="294"/>
      <c r="D45" s="294"/>
      <c r="E45" s="294"/>
      <c r="F45" s="294"/>
      <c r="G45" s="294"/>
      <c r="H45" s="294"/>
      <c r="I45" s="294"/>
      <c r="J45" s="294"/>
    </row>
    <row r="46" spans="1:10" ht="39.75" customHeight="1">
      <c r="A46" s="295" t="s">
        <v>178</v>
      </c>
      <c r="B46" s="295"/>
      <c r="C46" s="295"/>
      <c r="D46" s="295"/>
      <c r="E46" s="295"/>
      <c r="F46" s="295"/>
      <c r="G46" s="295"/>
      <c r="H46" s="295"/>
      <c r="I46" s="295"/>
      <c r="J46" s="295"/>
    </row>
    <row r="47" spans="1:10" ht="16.5" customHeight="1">
      <c r="A47" s="295" t="s">
        <v>179</v>
      </c>
      <c r="B47" s="295"/>
      <c r="C47" s="295"/>
      <c r="D47" s="295"/>
      <c r="E47" s="295"/>
      <c r="F47" s="295"/>
      <c r="G47" s="295"/>
      <c r="H47" s="295"/>
      <c r="I47" s="295"/>
      <c r="J47" s="295"/>
    </row>
    <row r="48" spans="1:10" ht="27.75" customHeight="1">
      <c r="A48" s="295" t="s">
        <v>180</v>
      </c>
      <c r="B48" s="295"/>
      <c r="C48" s="295"/>
      <c r="D48" s="295"/>
      <c r="E48" s="295"/>
      <c r="F48" s="295"/>
      <c r="G48" s="295"/>
      <c r="H48" s="295"/>
      <c r="I48" s="295"/>
      <c r="J48" s="295"/>
    </row>
    <row r="49" spans="1:10" ht="27" customHeight="1">
      <c r="A49" s="295" t="s">
        <v>181</v>
      </c>
      <c r="B49" s="295"/>
      <c r="C49" s="295"/>
      <c r="D49" s="295"/>
      <c r="E49" s="295"/>
      <c r="F49" s="295"/>
      <c r="G49" s="295"/>
      <c r="H49" s="295"/>
      <c r="I49" s="295"/>
      <c r="J49" s="295"/>
    </row>
    <row r="50" spans="1:10" ht="30" customHeight="1">
      <c r="A50" s="295" t="s">
        <v>182</v>
      </c>
      <c r="B50" s="295"/>
      <c r="C50" s="295"/>
      <c r="D50" s="295"/>
      <c r="E50" s="295"/>
      <c r="F50" s="295"/>
      <c r="G50" s="295"/>
      <c r="H50" s="295"/>
      <c r="I50" s="295"/>
      <c r="J50" s="295"/>
    </row>
    <row r="51" spans="1:10" ht="27" customHeight="1">
      <c r="A51" s="295" t="s">
        <v>183</v>
      </c>
      <c r="B51" s="295"/>
      <c r="C51" s="295"/>
      <c r="D51" s="295"/>
      <c r="E51" s="295"/>
      <c r="F51" s="295"/>
      <c r="G51" s="295"/>
      <c r="H51" s="295"/>
      <c r="I51" s="295"/>
      <c r="J51" s="295"/>
    </row>
    <row r="52" spans="1:10" ht="15" customHeight="1">
      <c r="A52" s="296" t="s">
        <v>184</v>
      </c>
      <c r="B52" s="296"/>
      <c r="C52" s="296"/>
      <c r="D52" s="296"/>
      <c r="E52" s="296"/>
      <c r="F52" s="296"/>
      <c r="G52" s="296"/>
      <c r="H52" s="296"/>
      <c r="I52" s="296"/>
      <c r="J52" s="296"/>
    </row>
    <row r="53" spans="1:10" ht="26.25" customHeight="1">
      <c r="A53" s="290" t="s">
        <v>185</v>
      </c>
      <c r="B53" s="290"/>
      <c r="C53" s="290"/>
      <c r="D53" s="290"/>
      <c r="E53" s="290"/>
      <c r="F53" s="290"/>
      <c r="G53" s="290"/>
      <c r="H53" s="290"/>
      <c r="I53" s="290"/>
      <c r="J53" s="290"/>
    </row>
    <row r="54" spans="1:10" ht="26.25" customHeight="1">
      <c r="A54" s="290" t="s">
        <v>186</v>
      </c>
      <c r="B54" s="290"/>
      <c r="C54" s="290"/>
      <c r="D54" s="290"/>
      <c r="E54" s="290"/>
      <c r="F54" s="290"/>
      <c r="G54" s="290"/>
      <c r="H54" s="290"/>
      <c r="I54" s="290"/>
      <c r="J54" s="290"/>
    </row>
    <row r="55" spans="1:10" ht="39" customHeight="1">
      <c r="A55" s="290" t="s">
        <v>187</v>
      </c>
      <c r="B55" s="290"/>
      <c r="C55" s="290"/>
      <c r="D55" s="290"/>
      <c r="E55" s="290"/>
      <c r="F55" s="290"/>
      <c r="G55" s="290"/>
      <c r="H55" s="290"/>
      <c r="I55" s="290"/>
      <c r="J55" s="290"/>
    </row>
    <row r="56" spans="1:10" ht="27" customHeight="1">
      <c r="A56" s="290" t="s">
        <v>188</v>
      </c>
      <c r="B56" s="290"/>
      <c r="C56" s="290"/>
      <c r="D56" s="290"/>
      <c r="E56" s="290"/>
      <c r="F56" s="290"/>
      <c r="G56" s="290"/>
      <c r="H56" s="290"/>
      <c r="I56" s="290"/>
      <c r="J56" s="290"/>
    </row>
    <row r="57" spans="1:10" ht="39.75" customHeight="1">
      <c r="A57" s="295" t="s">
        <v>189</v>
      </c>
      <c r="B57" s="295"/>
      <c r="C57" s="295"/>
      <c r="D57" s="295"/>
      <c r="E57" s="295"/>
      <c r="F57" s="295"/>
      <c r="G57" s="295"/>
      <c r="H57" s="295"/>
      <c r="I57" s="295"/>
      <c r="J57" s="295"/>
    </row>
    <row r="58" spans="1:10" ht="29.25" customHeight="1">
      <c r="A58" s="295" t="s">
        <v>190</v>
      </c>
      <c r="B58" s="295"/>
      <c r="C58" s="295"/>
      <c r="D58" s="295"/>
      <c r="E58" s="295"/>
      <c r="F58" s="295"/>
      <c r="G58" s="295"/>
      <c r="H58" s="295"/>
      <c r="I58" s="295"/>
      <c r="J58" s="295"/>
    </row>
    <row r="59" spans="1:10" ht="40.5" customHeight="1">
      <c r="A59" s="295" t="s">
        <v>191</v>
      </c>
      <c r="B59" s="295"/>
      <c r="C59" s="295"/>
      <c r="D59" s="295"/>
      <c r="E59" s="295"/>
      <c r="F59" s="295"/>
      <c r="G59" s="295"/>
      <c r="H59" s="295"/>
      <c r="I59" s="295"/>
      <c r="J59" s="295"/>
    </row>
    <row r="60" spans="1:10" ht="30" customHeight="1">
      <c r="A60" s="295" t="s">
        <v>192</v>
      </c>
      <c r="B60" s="295"/>
      <c r="C60" s="295"/>
      <c r="D60" s="295"/>
      <c r="E60" s="295"/>
      <c r="F60" s="295"/>
      <c r="G60" s="295"/>
      <c r="H60" s="295"/>
      <c r="I60" s="295"/>
      <c r="J60" s="295"/>
    </row>
    <row r="61" spans="1:10" ht="30.75" customHeight="1">
      <c r="A61" s="295" t="s">
        <v>193</v>
      </c>
      <c r="B61" s="295"/>
      <c r="C61" s="295"/>
      <c r="D61" s="295"/>
      <c r="E61" s="295"/>
      <c r="F61" s="295"/>
      <c r="G61" s="295"/>
      <c r="H61" s="295"/>
      <c r="I61" s="295"/>
      <c r="J61" s="295"/>
    </row>
    <row r="62" spans="1:10" ht="50.25" customHeight="1">
      <c r="A62" s="295" t="s">
        <v>194</v>
      </c>
      <c r="B62" s="295"/>
      <c r="C62" s="295"/>
      <c r="D62" s="295"/>
      <c r="E62" s="295"/>
      <c r="F62" s="295"/>
      <c r="G62" s="295"/>
      <c r="H62" s="295"/>
      <c r="I62" s="295"/>
      <c r="J62" s="295"/>
    </row>
    <row r="63" spans="1:10" ht="37.5" customHeight="1">
      <c r="A63" s="295" t="s">
        <v>195</v>
      </c>
      <c r="B63" s="295"/>
      <c r="C63" s="295"/>
      <c r="D63" s="295"/>
      <c r="E63" s="295"/>
      <c r="F63" s="295"/>
      <c r="G63" s="295"/>
      <c r="H63" s="295"/>
      <c r="I63" s="295"/>
      <c r="J63" s="295"/>
    </row>
    <row r="64" spans="1:10" ht="48" customHeight="1">
      <c r="A64" s="296" t="s">
        <v>196</v>
      </c>
      <c r="B64" s="296"/>
      <c r="C64" s="296"/>
      <c r="D64" s="296"/>
      <c r="E64" s="296"/>
      <c r="F64" s="296"/>
      <c r="G64" s="296"/>
      <c r="H64" s="296"/>
      <c r="I64" s="296"/>
      <c r="J64" s="296"/>
    </row>
    <row r="65" spans="1:10" ht="49.5" customHeight="1">
      <c r="A65" s="295" t="s">
        <v>197</v>
      </c>
      <c r="B65" s="295"/>
      <c r="C65" s="295"/>
      <c r="D65" s="295"/>
      <c r="E65" s="295"/>
      <c r="F65" s="295"/>
      <c r="G65" s="295"/>
      <c r="H65" s="295"/>
      <c r="I65" s="295"/>
      <c r="J65" s="295"/>
    </row>
    <row r="66" spans="1:10" ht="38.25" customHeight="1">
      <c r="A66" s="295" t="s">
        <v>198</v>
      </c>
      <c r="B66" s="295"/>
      <c r="C66" s="295"/>
      <c r="D66" s="295"/>
      <c r="E66" s="295"/>
      <c r="F66" s="295"/>
      <c r="G66" s="295"/>
      <c r="H66" s="295"/>
      <c r="I66" s="295"/>
      <c r="J66" s="295"/>
    </row>
    <row r="67" spans="1:10" ht="39" customHeight="1">
      <c r="A67" s="295" t="s">
        <v>199</v>
      </c>
      <c r="B67" s="295"/>
      <c r="C67" s="295"/>
      <c r="D67" s="295"/>
      <c r="E67" s="295"/>
      <c r="F67" s="295"/>
      <c r="G67" s="295"/>
      <c r="H67" s="295"/>
      <c r="I67" s="295"/>
      <c r="J67" s="295"/>
    </row>
    <row r="68" spans="1:10" ht="50.25" customHeight="1">
      <c r="A68" s="295" t="s">
        <v>200</v>
      </c>
      <c r="B68" s="295"/>
      <c r="C68" s="295"/>
      <c r="D68" s="295"/>
      <c r="E68" s="295"/>
      <c r="F68" s="295"/>
      <c r="G68" s="295"/>
      <c r="H68" s="295"/>
      <c r="I68" s="295"/>
      <c r="J68" s="295"/>
    </row>
    <row r="69" spans="1:10" ht="27.75" customHeight="1">
      <c r="A69" s="295" t="s">
        <v>201</v>
      </c>
      <c r="B69" s="295"/>
      <c r="C69" s="295"/>
      <c r="D69" s="295"/>
      <c r="E69" s="295"/>
      <c r="F69" s="295"/>
      <c r="G69" s="295"/>
      <c r="H69" s="295"/>
      <c r="I69" s="295"/>
      <c r="J69" s="295"/>
    </row>
    <row r="70" spans="1:10" ht="27.75" customHeight="1">
      <c r="A70" s="295" t="s">
        <v>202</v>
      </c>
      <c r="B70" s="295"/>
      <c r="C70" s="295"/>
      <c r="D70" s="295"/>
      <c r="E70" s="295"/>
      <c r="F70" s="295"/>
      <c r="G70" s="295"/>
      <c r="H70" s="295"/>
      <c r="I70" s="295"/>
      <c r="J70" s="295"/>
    </row>
    <row r="71" spans="1:10" ht="29.25" customHeight="1">
      <c r="A71" s="295" t="s">
        <v>203</v>
      </c>
      <c r="B71" s="295"/>
      <c r="C71" s="295"/>
      <c r="D71" s="295"/>
      <c r="E71" s="295"/>
      <c r="F71" s="295"/>
      <c r="G71" s="295"/>
      <c r="H71" s="295"/>
      <c r="I71" s="295"/>
      <c r="J71" s="295"/>
    </row>
    <row r="72" spans="1:10" ht="27" customHeight="1">
      <c r="A72" s="295" t="s">
        <v>204</v>
      </c>
      <c r="B72" s="295"/>
      <c r="C72" s="295"/>
      <c r="D72" s="295"/>
      <c r="E72" s="295"/>
      <c r="F72" s="295"/>
      <c r="G72" s="295"/>
      <c r="H72" s="295"/>
      <c r="I72" s="295"/>
      <c r="J72" s="295"/>
    </row>
    <row r="73" spans="1:10" ht="33" customHeight="1">
      <c r="A73" s="295" t="s">
        <v>205</v>
      </c>
      <c r="B73" s="295"/>
      <c r="C73" s="295"/>
      <c r="D73" s="295"/>
      <c r="E73" s="295"/>
      <c r="F73" s="295"/>
      <c r="G73" s="295"/>
      <c r="H73" s="295"/>
      <c r="I73" s="295"/>
      <c r="J73" s="295"/>
    </row>
    <row r="74" spans="1:10" ht="29.25" customHeight="1">
      <c r="A74" s="297" t="s">
        <v>206</v>
      </c>
      <c r="B74" s="297"/>
      <c r="C74" s="297"/>
      <c r="D74" s="297"/>
      <c r="E74" s="297"/>
      <c r="F74" s="297"/>
      <c r="G74" s="297"/>
      <c r="H74" s="297"/>
      <c r="I74" s="297"/>
      <c r="J74" s="297"/>
    </row>
    <row r="75" spans="1:10" ht="54" customHeight="1">
      <c r="A75" s="298" t="s">
        <v>207</v>
      </c>
      <c r="B75" s="298"/>
      <c r="C75" s="298"/>
      <c r="D75" s="298"/>
      <c r="E75" s="298"/>
      <c r="F75" s="298"/>
      <c r="G75" s="298"/>
      <c r="H75" s="298"/>
      <c r="I75" s="298"/>
      <c r="J75" s="298"/>
    </row>
    <row r="76" spans="1:10" ht="39.75" customHeight="1">
      <c r="A76" s="295" t="s">
        <v>208</v>
      </c>
      <c r="B76" s="295"/>
      <c r="C76" s="295"/>
      <c r="D76" s="295"/>
      <c r="E76" s="295"/>
      <c r="F76" s="295"/>
      <c r="G76" s="295"/>
      <c r="H76" s="295"/>
      <c r="I76" s="295"/>
      <c r="J76" s="295"/>
    </row>
    <row r="77" spans="1:10" ht="27" customHeight="1">
      <c r="A77" s="295" t="s">
        <v>209</v>
      </c>
      <c r="B77" s="295"/>
      <c r="C77" s="295"/>
      <c r="D77" s="295"/>
      <c r="E77" s="295"/>
      <c r="F77" s="295"/>
      <c r="G77" s="295"/>
      <c r="H77" s="295"/>
      <c r="I77" s="295"/>
      <c r="J77" s="295"/>
    </row>
    <row r="78" spans="1:10" ht="40.5" customHeight="1">
      <c r="A78" s="295" t="s">
        <v>210</v>
      </c>
      <c r="B78" s="295"/>
      <c r="C78" s="295"/>
      <c r="D78" s="295"/>
      <c r="E78" s="295"/>
      <c r="F78" s="295"/>
      <c r="G78" s="295"/>
      <c r="H78" s="295"/>
      <c r="I78" s="295"/>
      <c r="J78" s="295"/>
    </row>
    <row r="79" spans="1:10" ht="39.75" customHeight="1">
      <c r="A79" s="295" t="s">
        <v>211</v>
      </c>
      <c r="B79" s="295"/>
      <c r="C79" s="295"/>
      <c r="D79" s="295"/>
      <c r="E79" s="295"/>
      <c r="F79" s="295"/>
      <c r="G79" s="295"/>
      <c r="H79" s="295"/>
      <c r="I79" s="295"/>
      <c r="J79" s="295"/>
    </row>
    <row r="80" spans="1:10" ht="27" customHeight="1">
      <c r="A80" s="295" t="s">
        <v>212</v>
      </c>
      <c r="B80" s="295"/>
      <c r="C80" s="295"/>
      <c r="D80" s="295"/>
      <c r="E80" s="295"/>
      <c r="F80" s="295"/>
      <c r="G80" s="295"/>
      <c r="H80" s="295"/>
      <c r="I80" s="295"/>
      <c r="J80" s="295"/>
    </row>
    <row r="81" spans="1:10" ht="32.25" customHeight="1">
      <c r="A81" s="295" t="s">
        <v>213</v>
      </c>
      <c r="B81" s="295"/>
      <c r="C81" s="295"/>
      <c r="D81" s="295"/>
      <c r="E81" s="295"/>
      <c r="F81" s="295"/>
      <c r="G81" s="295"/>
      <c r="H81" s="295"/>
      <c r="I81" s="295"/>
      <c r="J81" s="295"/>
    </row>
    <row r="82" spans="1:10" ht="29.25" customHeight="1">
      <c r="A82" s="295" t="s">
        <v>214</v>
      </c>
      <c r="B82" s="295"/>
      <c r="C82" s="295"/>
      <c r="D82" s="295"/>
      <c r="E82" s="295"/>
      <c r="F82" s="295"/>
      <c r="G82" s="295"/>
      <c r="H82" s="295"/>
      <c r="I82" s="295"/>
      <c r="J82" s="295"/>
    </row>
    <row r="83" spans="1:10" ht="28.5" customHeight="1">
      <c r="A83" s="295" t="s">
        <v>215</v>
      </c>
      <c r="B83" s="295"/>
      <c r="C83" s="295"/>
      <c r="D83" s="295"/>
      <c r="E83" s="295"/>
      <c r="F83" s="295"/>
      <c r="G83" s="295"/>
      <c r="H83" s="295"/>
      <c r="I83" s="295"/>
      <c r="J83" s="295"/>
    </row>
    <row r="84" spans="1:10" ht="29.25" customHeight="1">
      <c r="A84" s="295" t="s">
        <v>216</v>
      </c>
      <c r="B84" s="295"/>
      <c r="C84" s="295"/>
      <c r="D84" s="295"/>
      <c r="E84" s="295"/>
      <c r="F84" s="295"/>
      <c r="G84" s="295"/>
      <c r="H84" s="295"/>
      <c r="I84" s="295"/>
      <c r="J84" s="295"/>
    </row>
    <row r="85" spans="1:10" ht="28.5" customHeight="1">
      <c r="A85" s="297" t="s">
        <v>217</v>
      </c>
      <c r="B85" s="297"/>
      <c r="C85" s="297"/>
      <c r="D85" s="297"/>
      <c r="E85" s="297"/>
      <c r="F85" s="297"/>
      <c r="G85" s="297"/>
      <c r="H85" s="297"/>
      <c r="I85" s="297"/>
      <c r="J85" s="297"/>
    </row>
    <row r="86" spans="1:10" ht="53.25" customHeight="1">
      <c r="A86" s="298" t="s">
        <v>218</v>
      </c>
      <c r="B86" s="298"/>
      <c r="C86" s="298"/>
      <c r="D86" s="298"/>
      <c r="E86" s="298"/>
      <c r="F86" s="298"/>
      <c r="G86" s="298"/>
      <c r="H86" s="298"/>
      <c r="I86" s="298"/>
      <c r="J86" s="298"/>
    </row>
    <row r="87" spans="1:10" ht="45" customHeight="1">
      <c r="A87" s="299" t="s">
        <v>219</v>
      </c>
      <c r="B87" s="299"/>
      <c r="C87" s="299"/>
      <c r="D87" s="299"/>
      <c r="E87" s="299"/>
      <c r="F87" s="299"/>
      <c r="G87" s="299"/>
      <c r="H87" s="299"/>
      <c r="I87" s="299"/>
      <c r="J87" s="299"/>
    </row>
    <row r="88" spans="1:10" ht="60" customHeight="1">
      <c r="A88" s="295" t="s">
        <v>220</v>
      </c>
      <c r="B88" s="295"/>
      <c r="C88" s="295"/>
      <c r="D88" s="295"/>
      <c r="E88" s="295"/>
      <c r="F88" s="295"/>
      <c r="G88" s="295"/>
      <c r="H88" s="295"/>
      <c r="I88" s="295"/>
      <c r="J88" s="295"/>
    </row>
    <row r="89" spans="1:10" ht="27" customHeight="1">
      <c r="A89" s="295" t="s">
        <v>221</v>
      </c>
      <c r="B89" s="295"/>
      <c r="C89" s="295"/>
      <c r="D89" s="295"/>
      <c r="E89" s="295"/>
      <c r="F89" s="295"/>
      <c r="G89" s="295"/>
      <c r="H89" s="295"/>
      <c r="I89" s="295"/>
      <c r="J89" s="295"/>
    </row>
    <row r="90" spans="1:10" ht="72" customHeight="1">
      <c r="A90" s="295" t="s">
        <v>222</v>
      </c>
      <c r="B90" s="295"/>
      <c r="C90" s="295"/>
      <c r="D90" s="295"/>
      <c r="E90" s="295"/>
      <c r="F90" s="295"/>
      <c r="G90" s="295"/>
      <c r="H90" s="295"/>
      <c r="I90" s="295"/>
      <c r="J90" s="295"/>
    </row>
    <row r="91" spans="1:10" ht="39.75" customHeight="1">
      <c r="A91" s="295" t="s">
        <v>223</v>
      </c>
      <c r="B91" s="295"/>
      <c r="C91" s="295"/>
      <c r="D91" s="295"/>
      <c r="E91" s="295"/>
      <c r="F91" s="295"/>
      <c r="G91" s="295"/>
      <c r="H91" s="295"/>
      <c r="I91" s="295"/>
      <c r="J91" s="295"/>
    </row>
    <row r="92" spans="1:10" ht="30.75" customHeight="1">
      <c r="A92" s="295" t="s">
        <v>224</v>
      </c>
      <c r="B92" s="295"/>
      <c r="C92" s="295"/>
      <c r="D92" s="295"/>
      <c r="E92" s="295"/>
      <c r="F92" s="295"/>
      <c r="G92" s="295"/>
      <c r="H92" s="295"/>
      <c r="I92" s="295"/>
      <c r="J92" s="295"/>
    </row>
    <row r="93" spans="1:10" ht="39" customHeight="1">
      <c r="A93" s="295" t="s">
        <v>225</v>
      </c>
      <c r="B93" s="295"/>
      <c r="C93" s="295"/>
      <c r="D93" s="295"/>
      <c r="E93" s="295"/>
      <c r="F93" s="295"/>
      <c r="G93" s="295"/>
      <c r="H93" s="295"/>
      <c r="I93" s="295"/>
      <c r="J93" s="295"/>
    </row>
    <row r="94" spans="1:10" ht="31.5" customHeight="1">
      <c r="A94" s="295" t="s">
        <v>226</v>
      </c>
      <c r="B94" s="295"/>
      <c r="C94" s="295"/>
      <c r="D94" s="295"/>
      <c r="E94" s="295"/>
      <c r="F94" s="295"/>
      <c r="G94" s="295"/>
      <c r="H94" s="295"/>
      <c r="I94" s="295"/>
      <c r="J94" s="295"/>
    </row>
    <row r="95" spans="1:10" ht="28.5" customHeight="1">
      <c r="A95" s="295" t="s">
        <v>227</v>
      </c>
      <c r="B95" s="295"/>
      <c r="C95" s="295"/>
      <c r="D95" s="295"/>
      <c r="E95" s="295"/>
      <c r="F95" s="295"/>
      <c r="G95" s="295"/>
      <c r="H95" s="295"/>
      <c r="I95" s="295"/>
      <c r="J95" s="295"/>
    </row>
    <row r="96" spans="1:10" ht="63" customHeight="1">
      <c r="A96" s="296" t="s">
        <v>228</v>
      </c>
      <c r="B96" s="296"/>
      <c r="C96" s="296"/>
      <c r="D96" s="296"/>
      <c r="E96" s="296"/>
      <c r="F96" s="296"/>
      <c r="G96" s="296"/>
      <c r="H96" s="296"/>
      <c r="I96" s="296"/>
      <c r="J96" s="296"/>
    </row>
    <row r="97" spans="1:10" ht="39" customHeight="1">
      <c r="A97" s="295" t="s">
        <v>229</v>
      </c>
      <c r="B97" s="295"/>
      <c r="C97" s="295"/>
      <c r="D97" s="295"/>
      <c r="E97" s="295"/>
      <c r="F97" s="295"/>
      <c r="G97" s="295"/>
      <c r="H97" s="295"/>
      <c r="I97" s="295"/>
      <c r="J97" s="295"/>
    </row>
    <row r="98" spans="1:10" ht="27" customHeight="1">
      <c r="A98" s="290" t="s">
        <v>230</v>
      </c>
      <c r="B98" s="290"/>
      <c r="C98" s="290"/>
      <c r="D98" s="290"/>
      <c r="E98" s="290"/>
      <c r="F98" s="290"/>
      <c r="G98" s="290"/>
      <c r="H98" s="290"/>
      <c r="I98" s="290"/>
      <c r="J98" s="290"/>
    </row>
    <row r="99" spans="1:10" ht="38.25" customHeight="1">
      <c r="A99" s="295" t="s">
        <v>231</v>
      </c>
      <c r="B99" s="295"/>
      <c r="C99" s="295"/>
      <c r="D99" s="295"/>
      <c r="E99" s="295"/>
      <c r="F99" s="295"/>
      <c r="G99" s="295"/>
      <c r="H99" s="295"/>
      <c r="I99" s="295"/>
      <c r="J99" s="295"/>
    </row>
    <row r="100" spans="1:10" ht="27.75" customHeight="1">
      <c r="A100" s="295" t="s">
        <v>232</v>
      </c>
      <c r="B100" s="295"/>
      <c r="C100" s="295"/>
      <c r="D100" s="295"/>
      <c r="E100" s="295"/>
      <c r="F100" s="295"/>
      <c r="G100" s="295"/>
      <c r="H100" s="295"/>
      <c r="I100" s="295"/>
      <c r="J100" s="295"/>
    </row>
    <row r="101" spans="1:10" ht="29.25" customHeight="1">
      <c r="A101" s="295" t="s">
        <v>233</v>
      </c>
      <c r="B101" s="295"/>
      <c r="C101" s="295"/>
      <c r="D101" s="295"/>
      <c r="E101" s="295"/>
      <c r="F101" s="295"/>
      <c r="G101" s="295"/>
      <c r="H101" s="295"/>
      <c r="I101" s="295"/>
      <c r="J101" s="295"/>
    </row>
    <row r="102" spans="1:10" ht="49.5" customHeight="1">
      <c r="A102" s="295" t="s">
        <v>234</v>
      </c>
      <c r="B102" s="295"/>
      <c r="C102" s="295"/>
      <c r="D102" s="295"/>
      <c r="E102" s="295"/>
      <c r="F102" s="295"/>
      <c r="G102" s="295"/>
      <c r="H102" s="295"/>
      <c r="I102" s="295"/>
      <c r="J102" s="295"/>
    </row>
    <row r="103" spans="1:10" ht="60" customHeight="1">
      <c r="A103" s="296" t="s">
        <v>235</v>
      </c>
      <c r="B103" s="296"/>
      <c r="C103" s="296"/>
      <c r="D103" s="296"/>
      <c r="E103" s="296"/>
      <c r="F103" s="296"/>
      <c r="G103" s="296"/>
      <c r="H103" s="296"/>
      <c r="I103" s="296"/>
      <c r="J103" s="296"/>
    </row>
    <row r="104" spans="1:10" ht="29.25" customHeight="1">
      <c r="A104" s="300" t="s">
        <v>236</v>
      </c>
      <c r="B104" s="300"/>
      <c r="C104" s="300"/>
      <c r="D104" s="300"/>
      <c r="E104" s="300"/>
      <c r="F104" s="300"/>
      <c r="G104" s="300"/>
      <c r="H104" s="300"/>
      <c r="I104" s="300"/>
      <c r="J104" s="300"/>
    </row>
    <row r="105" spans="1:10" ht="39" customHeight="1">
      <c r="A105" s="295" t="s">
        <v>237</v>
      </c>
      <c r="B105" s="295"/>
      <c r="C105" s="295"/>
      <c r="D105" s="295"/>
      <c r="E105" s="295"/>
      <c r="F105" s="295"/>
      <c r="G105" s="295"/>
      <c r="H105" s="295"/>
      <c r="I105" s="295"/>
      <c r="J105" s="295"/>
    </row>
    <row r="106" spans="1:10" ht="39.75" customHeight="1">
      <c r="A106" s="295" t="s">
        <v>238</v>
      </c>
      <c r="B106" s="295"/>
      <c r="C106" s="295"/>
      <c r="D106" s="295"/>
      <c r="E106" s="295"/>
      <c r="F106" s="295"/>
      <c r="G106" s="295"/>
      <c r="H106" s="295"/>
      <c r="I106" s="295"/>
      <c r="J106" s="295"/>
    </row>
    <row r="107" spans="1:10" ht="38.25" customHeight="1">
      <c r="A107" s="295" t="s">
        <v>239</v>
      </c>
      <c r="B107" s="295"/>
      <c r="C107" s="295"/>
      <c r="D107" s="295"/>
      <c r="E107" s="295"/>
      <c r="F107" s="295"/>
      <c r="G107" s="295"/>
      <c r="H107" s="295"/>
      <c r="I107" s="295"/>
      <c r="J107" s="295"/>
    </row>
    <row r="108" spans="1:10" ht="27.75" customHeight="1">
      <c r="A108" s="295" t="s">
        <v>240</v>
      </c>
      <c r="B108" s="295"/>
      <c r="C108" s="295"/>
      <c r="D108" s="295"/>
      <c r="E108" s="295"/>
      <c r="F108" s="295"/>
      <c r="G108" s="295"/>
      <c r="H108" s="295"/>
      <c r="I108" s="295"/>
      <c r="J108" s="295"/>
    </row>
    <row r="109" spans="1:10" ht="38.25" customHeight="1">
      <c r="A109" s="295" t="s">
        <v>241</v>
      </c>
      <c r="B109" s="295"/>
      <c r="C109" s="295"/>
      <c r="D109" s="295"/>
      <c r="E109" s="295"/>
      <c r="F109" s="295"/>
      <c r="G109" s="295"/>
      <c r="H109" s="295"/>
      <c r="I109" s="295"/>
      <c r="J109" s="295"/>
    </row>
    <row r="110" spans="1:10" ht="28.5" customHeight="1">
      <c r="A110" s="295" t="s">
        <v>242</v>
      </c>
      <c r="B110" s="295"/>
      <c r="C110" s="295"/>
      <c r="D110" s="295"/>
      <c r="E110" s="295"/>
      <c r="F110" s="295"/>
      <c r="G110" s="295"/>
      <c r="H110" s="295"/>
      <c r="I110" s="295"/>
      <c r="J110" s="295"/>
    </row>
    <row r="111" spans="1:10" ht="29.25" customHeight="1">
      <c r="A111" s="295" t="s">
        <v>243</v>
      </c>
      <c r="B111" s="295"/>
      <c r="C111" s="295"/>
      <c r="D111" s="295"/>
      <c r="E111" s="295"/>
      <c r="F111" s="295"/>
      <c r="G111" s="295"/>
      <c r="H111" s="295"/>
      <c r="I111" s="295"/>
      <c r="J111" s="295"/>
    </row>
    <row r="112" spans="1:10" ht="27.75" customHeight="1">
      <c r="A112" s="295" t="s">
        <v>244</v>
      </c>
      <c r="B112" s="295"/>
      <c r="C112" s="295"/>
      <c r="D112" s="295"/>
      <c r="E112" s="295"/>
      <c r="F112" s="295"/>
      <c r="G112" s="295"/>
      <c r="H112" s="295"/>
      <c r="I112" s="295"/>
      <c r="J112" s="295"/>
    </row>
    <row r="113" spans="1:10" ht="29.25" customHeight="1">
      <c r="A113" s="295" t="s">
        <v>245</v>
      </c>
      <c r="B113" s="295"/>
      <c r="C113" s="295"/>
      <c r="D113" s="295"/>
      <c r="E113" s="295"/>
      <c r="F113" s="295"/>
      <c r="G113" s="295"/>
      <c r="H113" s="295"/>
      <c r="I113" s="295"/>
      <c r="J113" s="295"/>
    </row>
    <row r="114" spans="1:10" ht="40.5" customHeight="1">
      <c r="A114" s="295" t="s">
        <v>246</v>
      </c>
      <c r="B114" s="295"/>
      <c r="C114" s="295"/>
      <c r="D114" s="295"/>
      <c r="E114" s="295"/>
      <c r="F114" s="295"/>
      <c r="G114" s="295"/>
      <c r="H114" s="295"/>
      <c r="I114" s="295"/>
      <c r="J114" s="295"/>
    </row>
    <row r="115" spans="1:10" ht="18" customHeight="1">
      <c r="A115" s="295" t="s">
        <v>247</v>
      </c>
      <c r="B115" s="295"/>
      <c r="C115" s="295"/>
      <c r="D115" s="295"/>
      <c r="E115" s="295"/>
      <c r="F115" s="295"/>
      <c r="G115" s="295"/>
      <c r="H115" s="295"/>
      <c r="I115" s="295"/>
      <c r="J115" s="295"/>
    </row>
    <row r="116" spans="1:10" ht="29.25" customHeight="1">
      <c r="A116" s="295" t="s">
        <v>248</v>
      </c>
      <c r="B116" s="295"/>
      <c r="C116" s="295"/>
      <c r="D116" s="295"/>
      <c r="E116" s="295"/>
      <c r="F116" s="295"/>
      <c r="G116" s="295"/>
      <c r="H116" s="295"/>
      <c r="I116" s="295"/>
      <c r="J116" s="295"/>
    </row>
    <row r="117" spans="1:10" ht="17.25" customHeight="1">
      <c r="A117" s="295" t="s">
        <v>249</v>
      </c>
      <c r="B117" s="295"/>
      <c r="C117" s="295"/>
      <c r="D117" s="295"/>
      <c r="E117" s="295"/>
      <c r="F117" s="295"/>
      <c r="G117" s="295"/>
      <c r="H117" s="295"/>
      <c r="I117" s="295"/>
      <c r="J117" s="295"/>
    </row>
    <row r="118" spans="1:10" ht="60" customHeight="1">
      <c r="A118" s="295" t="s">
        <v>250</v>
      </c>
      <c r="B118" s="295"/>
      <c r="C118" s="295"/>
      <c r="D118" s="295"/>
      <c r="E118" s="295"/>
      <c r="F118" s="295"/>
      <c r="G118" s="295"/>
      <c r="H118" s="295"/>
      <c r="I118" s="295"/>
      <c r="J118" s="295"/>
    </row>
    <row r="119" spans="1:10" ht="27" customHeight="1">
      <c r="A119" s="295" t="s">
        <v>251</v>
      </c>
      <c r="B119" s="295"/>
      <c r="C119" s="295"/>
      <c r="D119" s="295"/>
      <c r="E119" s="295"/>
      <c r="F119" s="295"/>
      <c r="G119" s="295"/>
      <c r="H119" s="295"/>
      <c r="I119" s="295"/>
      <c r="J119" s="295"/>
    </row>
    <row r="120" spans="1:10" ht="40.5" customHeight="1">
      <c r="A120" s="295" t="s">
        <v>252</v>
      </c>
      <c r="B120" s="295"/>
      <c r="C120" s="295"/>
      <c r="D120" s="295"/>
      <c r="E120" s="295"/>
      <c r="F120" s="295"/>
      <c r="G120" s="295"/>
      <c r="H120" s="295"/>
      <c r="I120" s="295"/>
      <c r="J120" s="295"/>
    </row>
    <row r="121" spans="1:10" ht="27.75" customHeight="1">
      <c r="A121" s="295" t="s">
        <v>253</v>
      </c>
      <c r="B121" s="295"/>
      <c r="C121" s="295"/>
      <c r="D121" s="295"/>
      <c r="E121" s="295"/>
      <c r="F121" s="295"/>
      <c r="G121" s="295"/>
      <c r="H121" s="295"/>
      <c r="I121" s="295"/>
      <c r="J121" s="295"/>
    </row>
    <row r="122" spans="1:10" ht="50.25" customHeight="1">
      <c r="A122" s="295" t="s">
        <v>254</v>
      </c>
      <c r="B122" s="295"/>
      <c r="C122" s="295"/>
      <c r="D122" s="295"/>
      <c r="E122" s="295"/>
      <c r="F122" s="295"/>
      <c r="G122" s="295"/>
      <c r="H122" s="295"/>
      <c r="I122" s="295"/>
      <c r="J122" s="295"/>
    </row>
    <row r="123" spans="1:10" ht="39" customHeight="1">
      <c r="A123" s="295" t="s">
        <v>255</v>
      </c>
      <c r="B123" s="295"/>
      <c r="C123" s="295"/>
      <c r="D123" s="295"/>
      <c r="E123" s="295"/>
      <c r="F123" s="295"/>
      <c r="G123" s="295"/>
      <c r="H123" s="295"/>
      <c r="I123" s="295"/>
      <c r="J123" s="295"/>
    </row>
    <row r="124" spans="1:10" ht="39" customHeight="1">
      <c r="A124" s="295" t="s">
        <v>256</v>
      </c>
      <c r="B124" s="295"/>
      <c r="C124" s="295"/>
      <c r="D124" s="295"/>
      <c r="E124" s="295"/>
      <c r="F124" s="295"/>
      <c r="G124" s="295"/>
      <c r="H124" s="295"/>
      <c r="I124" s="295"/>
      <c r="J124" s="295"/>
    </row>
    <row r="125" spans="1:10" ht="48" customHeight="1">
      <c r="A125" s="290" t="s">
        <v>257</v>
      </c>
      <c r="B125" s="290"/>
      <c r="C125" s="290"/>
      <c r="D125" s="290"/>
      <c r="E125" s="290"/>
      <c r="F125" s="290"/>
      <c r="G125" s="290"/>
      <c r="H125" s="290"/>
      <c r="I125" s="290"/>
      <c r="J125" s="290"/>
    </row>
    <row r="126" spans="1:10" ht="36.75" customHeight="1">
      <c r="A126" s="290" t="s">
        <v>258</v>
      </c>
      <c r="B126" s="290"/>
      <c r="C126" s="290"/>
      <c r="D126" s="290"/>
      <c r="E126" s="290"/>
      <c r="F126" s="290"/>
      <c r="G126" s="290"/>
      <c r="H126" s="290"/>
      <c r="I126" s="290"/>
      <c r="J126" s="290"/>
    </row>
    <row r="127" spans="1:10" ht="26.25" customHeight="1">
      <c r="A127" s="290" t="s">
        <v>259</v>
      </c>
      <c r="B127" s="290"/>
      <c r="C127" s="290"/>
      <c r="D127" s="290"/>
      <c r="E127" s="290"/>
      <c r="F127" s="290"/>
      <c r="G127" s="290"/>
      <c r="H127" s="290"/>
      <c r="I127" s="290"/>
      <c r="J127" s="290"/>
    </row>
    <row r="128" spans="1:10" ht="27" customHeight="1">
      <c r="A128" s="300" t="s">
        <v>260</v>
      </c>
      <c r="B128" s="300"/>
      <c r="C128" s="300"/>
      <c r="D128" s="300"/>
      <c r="E128" s="300"/>
      <c r="F128" s="300"/>
      <c r="G128" s="300"/>
      <c r="H128" s="300"/>
      <c r="I128" s="300"/>
      <c r="J128" s="300"/>
    </row>
    <row r="129" spans="1:10" ht="60" customHeight="1">
      <c r="A129" s="297" t="s">
        <v>261</v>
      </c>
      <c r="B129" s="297"/>
      <c r="C129" s="297"/>
      <c r="D129" s="297"/>
      <c r="E129" s="297"/>
      <c r="F129" s="297"/>
      <c r="G129" s="297"/>
      <c r="H129" s="297"/>
      <c r="I129" s="297"/>
      <c r="J129" s="297"/>
    </row>
    <row r="130" spans="1:10" ht="79.5" customHeight="1">
      <c r="A130" s="301" t="s">
        <v>262</v>
      </c>
      <c r="B130" s="301"/>
      <c r="C130" s="301"/>
      <c r="D130" s="301"/>
      <c r="E130" s="301"/>
      <c r="F130" s="301"/>
      <c r="G130" s="301"/>
      <c r="H130" s="301"/>
      <c r="I130" s="301"/>
      <c r="J130" s="301"/>
    </row>
    <row r="131" spans="1:10" ht="78" customHeight="1">
      <c r="A131" s="302" t="s">
        <v>263</v>
      </c>
      <c r="B131" s="302"/>
      <c r="C131" s="302"/>
      <c r="D131" s="302"/>
      <c r="E131" s="302"/>
      <c r="F131" s="302"/>
      <c r="G131" s="302"/>
      <c r="H131" s="302"/>
      <c r="I131" s="302"/>
      <c r="J131" s="302"/>
    </row>
    <row r="132" spans="1:10" ht="28.5" customHeight="1">
      <c r="A132" s="295" t="s">
        <v>264</v>
      </c>
      <c r="B132" s="295"/>
      <c r="C132" s="295"/>
      <c r="D132" s="295"/>
      <c r="E132" s="295"/>
      <c r="F132" s="295"/>
      <c r="G132" s="295"/>
      <c r="H132" s="295"/>
      <c r="I132" s="295"/>
      <c r="J132" s="295"/>
    </row>
    <row r="133" spans="1:10" ht="71.25" customHeight="1">
      <c r="A133" s="300" t="s">
        <v>265</v>
      </c>
      <c r="B133" s="300"/>
      <c r="C133" s="300"/>
      <c r="D133" s="300"/>
      <c r="E133" s="300"/>
      <c r="F133" s="300"/>
      <c r="G133" s="300"/>
      <c r="H133" s="300"/>
      <c r="I133" s="300"/>
      <c r="J133" s="300"/>
    </row>
    <row r="134" spans="1:10" ht="38.25" customHeight="1">
      <c r="A134" s="289" t="s">
        <v>266</v>
      </c>
      <c r="B134" s="289"/>
      <c r="C134" s="289"/>
      <c r="D134" s="289"/>
      <c r="E134" s="289"/>
      <c r="F134" s="289"/>
      <c r="G134" s="289"/>
      <c r="H134" s="289"/>
      <c r="I134" s="289"/>
      <c r="J134" s="289"/>
    </row>
    <row r="135" spans="1:10" ht="48.75" customHeight="1">
      <c r="A135" s="295" t="s">
        <v>267</v>
      </c>
      <c r="B135" s="295"/>
      <c r="C135" s="295"/>
      <c r="D135" s="295"/>
      <c r="E135" s="295"/>
      <c r="F135" s="295"/>
      <c r="G135" s="295"/>
      <c r="H135" s="295"/>
      <c r="I135" s="295"/>
      <c r="J135" s="295"/>
    </row>
    <row r="136" spans="1:10" ht="39" customHeight="1">
      <c r="A136" s="295" t="s">
        <v>268</v>
      </c>
      <c r="B136" s="295"/>
      <c r="C136" s="295"/>
      <c r="D136" s="295"/>
      <c r="E136" s="295"/>
      <c r="F136" s="295"/>
      <c r="G136" s="295"/>
      <c r="H136" s="295"/>
      <c r="I136" s="295"/>
      <c r="J136" s="295"/>
    </row>
    <row r="137" spans="1:10" ht="27" customHeight="1">
      <c r="A137" s="295" t="s">
        <v>269</v>
      </c>
      <c r="B137" s="295"/>
      <c r="C137" s="295"/>
      <c r="D137" s="295"/>
      <c r="E137" s="295"/>
      <c r="F137" s="295"/>
      <c r="G137" s="295"/>
      <c r="H137" s="295"/>
      <c r="I137" s="295"/>
      <c r="J137" s="295"/>
    </row>
    <row r="138" spans="1:10" ht="25.5" customHeight="1">
      <c r="A138" s="295" t="s">
        <v>270</v>
      </c>
      <c r="B138" s="295"/>
      <c r="C138" s="295"/>
      <c r="D138" s="295"/>
      <c r="E138" s="295"/>
      <c r="F138" s="295"/>
      <c r="G138" s="295"/>
      <c r="H138" s="295"/>
      <c r="I138" s="295"/>
      <c r="J138" s="295"/>
    </row>
    <row r="139" spans="1:10" ht="39" customHeight="1">
      <c r="A139" s="295" t="s">
        <v>271</v>
      </c>
      <c r="B139" s="295"/>
      <c r="C139" s="295"/>
      <c r="D139" s="295"/>
      <c r="E139" s="295"/>
      <c r="F139" s="295"/>
      <c r="G139" s="295"/>
      <c r="H139" s="295"/>
      <c r="I139" s="295"/>
      <c r="J139" s="295"/>
    </row>
    <row r="140" spans="1:10" ht="29.25" customHeight="1">
      <c r="A140" s="303" t="s">
        <v>272</v>
      </c>
      <c r="B140" s="303"/>
      <c r="C140" s="303"/>
      <c r="D140" s="303"/>
      <c r="E140" s="303"/>
      <c r="F140" s="303"/>
      <c r="G140" s="303"/>
      <c r="H140" s="303"/>
      <c r="I140" s="303"/>
      <c r="J140" s="303"/>
    </row>
    <row r="141" spans="1:10" ht="39.75" customHeight="1">
      <c r="A141" s="304" t="s">
        <v>273</v>
      </c>
      <c r="B141" s="304"/>
      <c r="C141" s="304"/>
      <c r="D141" s="304"/>
      <c r="E141" s="304"/>
      <c r="F141" s="304"/>
      <c r="G141" s="304"/>
      <c r="H141" s="304"/>
      <c r="I141" s="304"/>
      <c r="J141" s="304"/>
    </row>
    <row r="142" spans="1:10" ht="21.75" customHeight="1">
      <c r="A142" s="304" t="s">
        <v>274</v>
      </c>
      <c r="B142" s="304"/>
      <c r="C142" s="304"/>
      <c r="D142" s="304"/>
      <c r="E142" s="304"/>
      <c r="F142" s="304"/>
      <c r="G142" s="304"/>
      <c r="H142" s="304"/>
      <c r="I142" s="304"/>
      <c r="J142" s="304"/>
    </row>
    <row r="143" spans="1:10" ht="27.75" customHeight="1">
      <c r="A143" s="305" t="s">
        <v>275</v>
      </c>
      <c r="B143" s="305"/>
      <c r="C143" s="305"/>
      <c r="D143" s="305"/>
      <c r="E143" s="305"/>
      <c r="F143" s="305"/>
      <c r="G143" s="305"/>
      <c r="H143" s="305"/>
      <c r="I143" s="305"/>
      <c r="J143" s="305"/>
    </row>
    <row r="144" ht="12.75"/>
  </sheetData>
  <sheetProtection sheet="1" objects="1" scenarios="1"/>
  <mergeCells count="144">
    <mergeCell ref="A138:J138"/>
    <mergeCell ref="A139:J139"/>
    <mergeCell ref="A140:J140"/>
    <mergeCell ref="A141:J141"/>
    <mergeCell ref="A142:J142"/>
    <mergeCell ref="A143:J143"/>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08:J108"/>
    <mergeCell ref="A109:J109"/>
    <mergeCell ref="A110:J110"/>
    <mergeCell ref="A111:J111"/>
    <mergeCell ref="A112:J112"/>
    <mergeCell ref="A113:J113"/>
    <mergeCell ref="A102:J102"/>
    <mergeCell ref="A103:J103"/>
    <mergeCell ref="A104:J104"/>
    <mergeCell ref="A105:J105"/>
    <mergeCell ref="A106:J106"/>
    <mergeCell ref="A107:J107"/>
    <mergeCell ref="A96:J96"/>
    <mergeCell ref="A97:J97"/>
    <mergeCell ref="A98:J98"/>
    <mergeCell ref="A99:J99"/>
    <mergeCell ref="A100:J100"/>
    <mergeCell ref="A101:J101"/>
    <mergeCell ref="A90:J90"/>
    <mergeCell ref="A91:J91"/>
    <mergeCell ref="A92:J92"/>
    <mergeCell ref="A93:J93"/>
    <mergeCell ref="A94:J94"/>
    <mergeCell ref="A95:J95"/>
    <mergeCell ref="A84:J84"/>
    <mergeCell ref="A85:J85"/>
    <mergeCell ref="A86:J86"/>
    <mergeCell ref="A87:J87"/>
    <mergeCell ref="A88:J88"/>
    <mergeCell ref="A89:J89"/>
    <mergeCell ref="A78:J78"/>
    <mergeCell ref="A79:J79"/>
    <mergeCell ref="A80:J80"/>
    <mergeCell ref="A81:J81"/>
    <mergeCell ref="A82:J82"/>
    <mergeCell ref="A83:J83"/>
    <mergeCell ref="A72:J72"/>
    <mergeCell ref="A73:J73"/>
    <mergeCell ref="A74:J74"/>
    <mergeCell ref="A75:J75"/>
    <mergeCell ref="A76:J76"/>
    <mergeCell ref="A77:J77"/>
    <mergeCell ref="A66:J66"/>
    <mergeCell ref="A67:J67"/>
    <mergeCell ref="A68:J68"/>
    <mergeCell ref="A69:J69"/>
    <mergeCell ref="A70:J70"/>
    <mergeCell ref="A71:J71"/>
    <mergeCell ref="A60:J60"/>
    <mergeCell ref="A61:J61"/>
    <mergeCell ref="A62:J62"/>
    <mergeCell ref="A63:J63"/>
    <mergeCell ref="A64:J64"/>
    <mergeCell ref="A65:J65"/>
    <mergeCell ref="A54:J54"/>
    <mergeCell ref="A55:J55"/>
    <mergeCell ref="A56:J56"/>
    <mergeCell ref="A57:J57"/>
    <mergeCell ref="A58:J58"/>
    <mergeCell ref="A59:J59"/>
    <mergeCell ref="A48:J48"/>
    <mergeCell ref="A49:J49"/>
    <mergeCell ref="A50:J50"/>
    <mergeCell ref="A51:J51"/>
    <mergeCell ref="A52:J52"/>
    <mergeCell ref="A53:J53"/>
    <mergeCell ref="A42:J42"/>
    <mergeCell ref="A43:J43"/>
    <mergeCell ref="A44:J44"/>
    <mergeCell ref="A45:J45"/>
    <mergeCell ref="A46:J46"/>
    <mergeCell ref="A47:J47"/>
    <mergeCell ref="A36:J36"/>
    <mergeCell ref="A37:J37"/>
    <mergeCell ref="A38:J38"/>
    <mergeCell ref="A39:J39"/>
    <mergeCell ref="A40:J40"/>
    <mergeCell ref="A41:J41"/>
    <mergeCell ref="A30:J30"/>
    <mergeCell ref="A31:J31"/>
    <mergeCell ref="A32:J32"/>
    <mergeCell ref="A33:J33"/>
    <mergeCell ref="A34:J34"/>
    <mergeCell ref="A35:J35"/>
    <mergeCell ref="A24:J24"/>
    <mergeCell ref="A25:J25"/>
    <mergeCell ref="A26:J26"/>
    <mergeCell ref="A27:J27"/>
    <mergeCell ref="A28:J28"/>
    <mergeCell ref="A29:J29"/>
    <mergeCell ref="A18:J18"/>
    <mergeCell ref="A19:J19"/>
    <mergeCell ref="A20:J20"/>
    <mergeCell ref="A21:J21"/>
    <mergeCell ref="A22:J22"/>
    <mergeCell ref="A23:J23"/>
    <mergeCell ref="A12:J12"/>
    <mergeCell ref="A13:J13"/>
    <mergeCell ref="A14:J14"/>
    <mergeCell ref="A15:J15"/>
    <mergeCell ref="A16:J16"/>
    <mergeCell ref="A17:J17"/>
    <mergeCell ref="A6:J6"/>
    <mergeCell ref="A7:J7"/>
    <mergeCell ref="A8:J8"/>
    <mergeCell ref="A9:J9"/>
    <mergeCell ref="A10:J10"/>
    <mergeCell ref="A11:J11"/>
    <mergeCell ref="A1:B2"/>
    <mergeCell ref="A3:B3"/>
    <mergeCell ref="C3:H3"/>
    <mergeCell ref="I3:J3"/>
    <mergeCell ref="A4:J4"/>
    <mergeCell ref="A5:J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9"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72" customFormat="1" ht="19.5" customHeight="1">
      <c r="A1" s="258" t="s">
        <v>97</v>
      </c>
      <c r="B1" s="258"/>
      <c r="C1" s="29" t="s">
        <v>98</v>
      </c>
      <c r="D1" s="30" t="s">
        <v>99</v>
      </c>
      <c r="E1" s="30" t="s">
        <v>93</v>
      </c>
      <c r="F1" s="31" t="s">
        <v>100</v>
      </c>
      <c r="G1" s="30" t="s">
        <v>101</v>
      </c>
      <c r="H1" s="31" t="s">
        <v>102</v>
      </c>
      <c r="I1" s="30" t="s">
        <v>104</v>
      </c>
      <c r="J1" s="32"/>
      <c r="M1" s="74">
        <f>IF(E5&lt;&gt;"",YEAR(E5),"")</f>
        <v>2014</v>
      </c>
      <c r="P1" s="69" t="s">
        <v>276</v>
      </c>
      <c r="Q1" s="69" t="s">
        <v>277</v>
      </c>
      <c r="R1" s="69" t="s">
        <v>278</v>
      </c>
      <c r="S1" s="69" t="s">
        <v>279</v>
      </c>
      <c r="T1" s="69" t="s">
        <v>36</v>
      </c>
      <c r="U1" s="69" t="s">
        <v>37</v>
      </c>
      <c r="V1" s="69" t="s">
        <v>280</v>
      </c>
      <c r="W1" s="69" t="s">
        <v>281</v>
      </c>
      <c r="X1" s="69" t="s">
        <v>282</v>
      </c>
      <c r="Y1" s="69" t="s">
        <v>283</v>
      </c>
      <c r="Z1" s="69" t="s">
        <v>284</v>
      </c>
      <c r="AA1" s="69" t="s">
        <v>285</v>
      </c>
      <c r="AB1" s="69" t="s">
        <v>286</v>
      </c>
      <c r="AC1" s="69" t="s">
        <v>287</v>
      </c>
      <c r="AD1" s="69" t="s">
        <v>288</v>
      </c>
      <c r="AE1" s="69" t="s">
        <v>289</v>
      </c>
      <c r="AF1" s="69" t="s">
        <v>290</v>
      </c>
      <c r="AG1" s="69" t="s">
        <v>291</v>
      </c>
      <c r="AH1" s="69" t="s">
        <v>292</v>
      </c>
      <c r="AI1" s="69" t="s">
        <v>293</v>
      </c>
      <c r="AJ1" s="69" t="s">
        <v>294</v>
      </c>
      <c r="AK1" s="72" t="s">
        <v>295</v>
      </c>
    </row>
    <row r="2" spans="1:37" s="72" customFormat="1" ht="19.5" customHeight="1">
      <c r="A2" s="258"/>
      <c r="B2" s="258"/>
      <c r="C2" s="33" t="s">
        <v>105</v>
      </c>
      <c r="D2" s="34" t="s">
        <v>106</v>
      </c>
      <c r="E2" s="34" t="s">
        <v>107</v>
      </c>
      <c r="F2" s="34" t="s">
        <v>108</v>
      </c>
      <c r="G2" s="34" t="s">
        <v>109</v>
      </c>
      <c r="H2" s="34" t="s">
        <v>110</v>
      </c>
      <c r="I2" s="35" t="s">
        <v>111</v>
      </c>
      <c r="J2" s="36"/>
      <c r="M2" s="75">
        <f>IF(H5&lt;&gt;"",YEAR(H5),"")</f>
        <v>2014</v>
      </c>
      <c r="P2" s="76">
        <f>IF(E5&lt;&gt;"",YEAR(E5)/100+MONTH(E5)/2+DAY(E5),0)</f>
        <v>21.64</v>
      </c>
      <c r="Q2" s="76">
        <f>IF(H5&lt;&gt;"",YEAR(H5)/100+MONTH(H5)/2+DAY(H5),0)</f>
        <v>57.14</v>
      </c>
      <c r="R2" s="76">
        <f>INT(VALUE(C17))</f>
        <v>10</v>
      </c>
      <c r="S2" s="76">
        <f>INT(VALUE(C19))/10</f>
        <v>320042.6</v>
      </c>
      <c r="T2" s="76">
        <f>INT(VALUE(C21))/50</f>
        <v>400649.24</v>
      </c>
      <c r="U2" s="76">
        <f>INT(VALUE(C23))/100</f>
        <v>262111065.48</v>
      </c>
      <c r="V2" s="76">
        <f>LEN(Skriveni!B9)</f>
        <v>38</v>
      </c>
      <c r="W2" s="76">
        <f>INT(VALUE(C27))/100</f>
        <v>473</v>
      </c>
      <c r="X2" s="76">
        <f>LEN(Skriveni!B11)</f>
        <v>6</v>
      </c>
      <c r="Y2" s="76">
        <f>LEN(Skriveni!B12)</f>
        <v>23</v>
      </c>
      <c r="Z2" s="76">
        <f>INT(VALUE(C35))</f>
        <v>297</v>
      </c>
      <c r="AA2" s="76">
        <f>INT(VALUE(C39))</f>
        <v>4110</v>
      </c>
      <c r="AB2" s="76">
        <f>IF(C41="DA",1,0)</f>
        <v>0</v>
      </c>
      <c r="AC2" s="76">
        <f>IF(C43="DA",1,0)</f>
        <v>0</v>
      </c>
      <c r="AD2" s="76">
        <f>INT(VALUE(C45))</f>
        <v>2</v>
      </c>
      <c r="AE2" s="76">
        <f>INT(VALUE(C47))</f>
        <v>1</v>
      </c>
      <c r="AF2" s="76">
        <f>INT(VALUE(C49))</f>
        <v>11</v>
      </c>
      <c r="AG2" s="76">
        <f>C51*2+E51</f>
        <v>200</v>
      </c>
      <c r="AH2" s="76">
        <f>C53+2*E53+3*C55+4*E55</f>
        <v>462</v>
      </c>
      <c r="AI2" s="76">
        <f>C57*2+E57</f>
        <v>36</v>
      </c>
      <c r="AJ2" s="76">
        <f>LEN(Skriveni!B43)</f>
        <v>13</v>
      </c>
      <c r="AK2" s="77">
        <f>INT(VALUE(E43))/100</f>
        <v>0</v>
      </c>
    </row>
    <row r="3" spans="1:14" s="72" customFormat="1" ht="60" customHeight="1">
      <c r="A3" s="306" t="s">
        <v>296</v>
      </c>
      <c r="B3" s="306"/>
      <c r="C3" s="306"/>
      <c r="D3" s="306"/>
      <c r="E3" s="306"/>
      <c r="F3" s="306"/>
      <c r="G3" s="306"/>
      <c r="H3" s="306"/>
      <c r="I3" s="306"/>
      <c r="J3" s="306"/>
      <c r="K3" s="306"/>
      <c r="L3" s="306"/>
      <c r="M3" s="306"/>
      <c r="N3" s="306"/>
    </row>
    <row r="4" spans="1:14" s="72" customFormat="1" ht="4.5" customHeight="1">
      <c r="A4" s="78"/>
      <c r="B4" s="79"/>
      <c r="C4" s="80"/>
      <c r="D4" s="79"/>
      <c r="E4" s="80"/>
      <c r="F4" s="80"/>
      <c r="G4" s="80"/>
      <c r="H4" s="80"/>
      <c r="I4" s="80"/>
      <c r="J4" s="80"/>
      <c r="K4" s="79"/>
      <c r="L4" s="79"/>
      <c r="M4" s="79"/>
      <c r="N4" s="79"/>
    </row>
    <row r="5" spans="1:14" s="72" customFormat="1" ht="15" customHeight="1">
      <c r="A5" s="307" t="s">
        <v>297</v>
      </c>
      <c r="B5" s="307"/>
      <c r="C5" s="307"/>
      <c r="D5" s="307"/>
      <c r="E5" s="308">
        <v>41640</v>
      </c>
      <c r="F5" s="308"/>
      <c r="G5" s="81" t="s">
        <v>298</v>
      </c>
      <c r="H5" s="308">
        <v>42004</v>
      </c>
      <c r="I5" s="308"/>
      <c r="J5" s="309" t="s">
        <v>299</v>
      </c>
      <c r="K5" s="309"/>
      <c r="L5" s="309"/>
      <c r="M5" s="309"/>
      <c r="N5" s="309"/>
    </row>
    <row r="6" spans="1:14" s="72" customFormat="1" ht="4.5" customHeight="1">
      <c r="A6" s="82"/>
      <c r="B6" s="82"/>
      <c r="C6" s="82"/>
      <c r="D6" s="82"/>
      <c r="E6" s="83"/>
      <c r="F6" s="83"/>
      <c r="G6" s="82"/>
      <c r="H6" s="82"/>
      <c r="I6" s="82"/>
      <c r="J6" s="309"/>
      <c r="K6" s="309"/>
      <c r="L6" s="309"/>
      <c r="M6" s="309"/>
      <c r="N6" s="309"/>
    </row>
    <row r="7" spans="1:14" s="72" customFormat="1" ht="4.5" customHeight="1">
      <c r="A7" s="84"/>
      <c r="B7" s="82"/>
      <c r="C7" s="82"/>
      <c r="D7" s="82"/>
      <c r="E7" s="82"/>
      <c r="F7" s="82"/>
      <c r="G7" s="82"/>
      <c r="H7" s="82"/>
      <c r="I7" s="82"/>
      <c r="J7" s="309"/>
      <c r="K7" s="309"/>
      <c r="L7" s="309"/>
      <c r="M7" s="309"/>
      <c r="N7" s="309"/>
    </row>
    <row r="8" spans="1:14" s="72" customFormat="1" ht="4.5" customHeight="1">
      <c r="A8" s="85"/>
      <c r="B8" s="86"/>
      <c r="C8" s="86"/>
      <c r="D8" s="86"/>
      <c r="E8" s="83"/>
      <c r="F8" s="83"/>
      <c r="G8" s="83"/>
      <c r="H8" s="83"/>
      <c r="I8" s="83"/>
      <c r="J8" s="83"/>
      <c r="K8" s="87"/>
      <c r="L8" s="87"/>
      <c r="M8" s="87"/>
      <c r="N8" s="87"/>
    </row>
    <row r="9" spans="1:14" s="72" customFormat="1" ht="15" customHeight="1">
      <c r="A9" s="86"/>
      <c r="B9" s="87"/>
      <c r="C9" s="82"/>
      <c r="D9" s="85" t="s">
        <v>300</v>
      </c>
      <c r="E9" s="88">
        <v>5</v>
      </c>
      <c r="F9" s="310" t="str">
        <f>IF(E9&lt;&gt;""," "&amp;LOOKUP(E9,AB29:AB45,AC29:AC45),"")</f>
        <v> Društvo s ograničenom odgovornošću</v>
      </c>
      <c r="G9" s="310"/>
      <c r="H9" s="310"/>
      <c r="I9" s="310"/>
      <c r="J9" s="310"/>
      <c r="K9" s="310"/>
      <c r="L9" s="310"/>
      <c r="M9" s="310"/>
      <c r="N9" s="310"/>
    </row>
    <row r="10" spans="1:15" ht="4.5" customHeight="1">
      <c r="A10" s="89"/>
      <c r="B10" s="89"/>
      <c r="C10" s="89"/>
      <c r="D10" s="89"/>
      <c r="E10" s="90"/>
      <c r="F10" s="91"/>
      <c r="G10" s="92"/>
      <c r="H10" s="93"/>
      <c r="I10" s="93"/>
      <c r="J10" s="93"/>
      <c r="K10" s="93"/>
      <c r="L10" s="93"/>
      <c r="M10" s="93"/>
      <c r="N10" s="93"/>
      <c r="O10" s="4"/>
    </row>
    <row r="11" spans="1:14" ht="15">
      <c r="A11" s="40"/>
      <c r="B11" s="40"/>
      <c r="C11" s="40"/>
      <c r="D11" s="40"/>
      <c r="E11" s="94"/>
      <c r="F11" s="95"/>
      <c r="G11" s="96"/>
      <c r="H11" s="40"/>
      <c r="I11" s="40"/>
      <c r="J11" s="40"/>
      <c r="K11" s="40"/>
      <c r="L11" s="40"/>
      <c r="M11" s="40"/>
      <c r="N11" s="86"/>
    </row>
    <row r="12" spans="1:14" ht="23.25" customHeight="1">
      <c r="A12" s="97" t="s">
        <v>301</v>
      </c>
      <c r="B12" s="98"/>
      <c r="C12" s="98"/>
      <c r="D12" s="98"/>
      <c r="E12" s="94"/>
      <c r="F12" s="95"/>
      <c r="G12" s="96"/>
      <c r="H12" s="40"/>
      <c r="I12" s="40"/>
      <c r="J12" s="40"/>
      <c r="K12" s="311" t="s">
        <v>302</v>
      </c>
      <c r="L12" s="311"/>
      <c r="M12" s="311"/>
      <c r="N12" s="311"/>
    </row>
    <row r="13" spans="1:14" ht="40.5" customHeight="1">
      <c r="A13" s="312" t="s">
        <v>303</v>
      </c>
      <c r="B13" s="312"/>
      <c r="C13" s="312"/>
      <c r="D13" s="312"/>
      <c r="E13" s="312"/>
      <c r="F13" s="312"/>
      <c r="G13" s="312"/>
      <c r="H13" s="312"/>
      <c r="I13" s="312"/>
      <c r="J13" s="312"/>
      <c r="K13" s="312"/>
      <c r="L13" s="312"/>
      <c r="M13" s="312"/>
      <c r="N13" s="312"/>
    </row>
    <row r="14" spans="1:14" ht="17.25" customHeight="1">
      <c r="A14" s="40"/>
      <c r="B14" s="99"/>
      <c r="C14" s="99"/>
      <c r="D14" s="99"/>
      <c r="E14" s="100"/>
      <c r="F14" s="101" t="s">
        <v>304</v>
      </c>
      <c r="G14" s="102">
        <v>2014</v>
      </c>
      <c r="H14" s="313" t="s">
        <v>305</v>
      </c>
      <c r="I14" s="313"/>
      <c r="J14" s="313"/>
      <c r="K14" s="40"/>
      <c r="L14" s="99"/>
      <c r="M14" s="99"/>
      <c r="N14" s="99"/>
    </row>
    <row r="15" spans="1:14" ht="19.5" customHeight="1">
      <c r="A15" s="314">
        <f>SUM(Skriveni!H2:H392)+SUM(P2:AK2)+SUM(Skriveni!AC2:AC101)</f>
        <v>546217570.9599999</v>
      </c>
      <c r="B15" s="314"/>
      <c r="C15" s="314"/>
      <c r="D15" s="103"/>
      <c r="E15" s="104"/>
      <c r="F15" s="315"/>
      <c r="G15" s="315"/>
      <c r="H15" s="315"/>
      <c r="I15" s="40"/>
      <c r="J15" s="40"/>
      <c r="K15" s="40"/>
      <c r="L15" s="40"/>
      <c r="M15" s="40"/>
      <c r="N15" s="40"/>
    </row>
    <row r="16" spans="1:14" ht="19.5" customHeight="1">
      <c r="A16" s="316" t="s">
        <v>306</v>
      </c>
      <c r="B16" s="316"/>
      <c r="C16" s="316"/>
      <c r="D16" s="52"/>
      <c r="E16" s="52"/>
      <c r="F16" s="52"/>
      <c r="G16" s="52"/>
      <c r="H16" s="52"/>
      <c r="I16" s="52"/>
      <c r="J16" s="40"/>
      <c r="K16" s="40"/>
      <c r="L16" s="40"/>
      <c r="M16" s="40"/>
      <c r="N16" s="40"/>
    </row>
    <row r="17" spans="1:16" ht="15" customHeight="1">
      <c r="A17" s="317" t="s">
        <v>307</v>
      </c>
      <c r="B17" s="317"/>
      <c r="C17" s="105">
        <v>10</v>
      </c>
      <c r="D17" s="40"/>
      <c r="E17" s="318"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18"/>
      <c r="G17" s="318"/>
      <c r="H17" s="318"/>
      <c r="I17" s="318"/>
      <c r="J17" s="52"/>
      <c r="K17" s="52"/>
      <c r="L17" s="52"/>
      <c r="M17" s="52"/>
      <c r="N17" s="52"/>
      <c r="P17" s="3">
        <v>10</v>
      </c>
    </row>
    <row r="18" spans="1:16" ht="4.5" customHeight="1">
      <c r="A18" s="40"/>
      <c r="B18" s="40"/>
      <c r="C18" s="52"/>
      <c r="D18" s="106"/>
      <c r="E18" s="318"/>
      <c r="F18" s="318"/>
      <c r="G18" s="318"/>
      <c r="H18" s="318"/>
      <c r="I18" s="318"/>
      <c r="J18" s="319" t="s">
        <v>308</v>
      </c>
      <c r="K18" s="319"/>
      <c r="L18" s="319"/>
      <c r="M18" s="319"/>
      <c r="N18" s="319"/>
      <c r="P18" s="3">
        <v>11</v>
      </c>
    </row>
    <row r="19" spans="1:16" ht="15" customHeight="1">
      <c r="A19" s="317" t="s">
        <v>309</v>
      </c>
      <c r="B19" s="317"/>
      <c r="C19" s="320" t="s">
        <v>310</v>
      </c>
      <c r="D19" s="320"/>
      <c r="E19" s="318"/>
      <c r="F19" s="318"/>
      <c r="G19" s="318"/>
      <c r="H19" s="318"/>
      <c r="I19" s="318"/>
      <c r="J19" s="319"/>
      <c r="K19" s="319"/>
      <c r="L19" s="319"/>
      <c r="M19" s="319"/>
      <c r="N19" s="319"/>
      <c r="P19" s="3">
        <v>20</v>
      </c>
    </row>
    <row r="20" spans="1:16" ht="7.5" customHeight="1">
      <c r="A20" s="40"/>
      <c r="B20" s="40"/>
      <c r="C20" s="52"/>
      <c r="D20" s="52"/>
      <c r="E20" s="318"/>
      <c r="F20" s="318"/>
      <c r="G20" s="318"/>
      <c r="H20" s="318"/>
      <c r="I20" s="318"/>
      <c r="J20" s="319"/>
      <c r="K20" s="319"/>
      <c r="L20" s="319"/>
      <c r="M20" s="319"/>
      <c r="N20" s="319"/>
      <c r="P20" s="3">
        <v>21</v>
      </c>
    </row>
    <row r="21" spans="1:16" ht="15" customHeight="1">
      <c r="A21" s="321" t="s">
        <v>311</v>
      </c>
      <c r="B21" s="321"/>
      <c r="C21" s="320" t="s">
        <v>312</v>
      </c>
      <c r="D21" s="320"/>
      <c r="E21" s="318"/>
      <c r="F21" s="318"/>
      <c r="G21" s="318"/>
      <c r="H21" s="318"/>
      <c r="I21" s="318"/>
      <c r="J21" s="40"/>
      <c r="K21" s="40"/>
      <c r="L21" s="40"/>
      <c r="M21" s="40"/>
      <c r="N21" s="40"/>
      <c r="P21" s="3">
        <v>30</v>
      </c>
    </row>
    <row r="22" spans="1:16" ht="7.5" customHeight="1">
      <c r="A22" s="108"/>
      <c r="B22" s="108"/>
      <c r="C22" s="109"/>
      <c r="D22" s="52"/>
      <c r="E22" s="52"/>
      <c r="F22" s="322">
        <f>IF(AND(LEN(C19)&gt;0,S2=0),"Ova Excel datoteka ima isključen automatski izračun formula ili otvorena je u Open Office-u ili nekom drugom alatu koji ne podržava sve funkcionalnosti Excel-a. Pročitajte dio uputa koji se odnosi na mogućnosti rada u OpenOffice-u.","")</f>
      </c>
      <c r="G22" s="322"/>
      <c r="H22" s="322"/>
      <c r="I22" s="322"/>
      <c r="J22" s="322"/>
      <c r="K22" s="322"/>
      <c r="L22" s="322"/>
      <c r="M22" s="322"/>
      <c r="N22" s="322"/>
      <c r="P22" s="3">
        <v>31</v>
      </c>
    </row>
    <row r="23" spans="1:16" ht="15" customHeight="1">
      <c r="A23" s="323" t="s">
        <v>313</v>
      </c>
      <c r="B23" s="323"/>
      <c r="C23" s="320" t="s">
        <v>314</v>
      </c>
      <c r="D23" s="320"/>
      <c r="E23" s="52"/>
      <c r="F23" s="322"/>
      <c r="G23" s="322"/>
      <c r="H23" s="322"/>
      <c r="I23" s="322"/>
      <c r="J23" s="322"/>
      <c r="K23" s="322"/>
      <c r="L23" s="322"/>
      <c r="M23" s="322"/>
      <c r="N23" s="322"/>
      <c r="P23" s="3">
        <v>32</v>
      </c>
    </row>
    <row r="24" spans="1:16" ht="7.5" customHeight="1">
      <c r="A24" s="323"/>
      <c r="B24" s="323"/>
      <c r="C24" s="52"/>
      <c r="D24" s="52"/>
      <c r="E24" s="52"/>
      <c r="F24" s="322"/>
      <c r="G24" s="322"/>
      <c r="H24" s="322"/>
      <c r="I24" s="322"/>
      <c r="J24" s="322"/>
      <c r="K24" s="322"/>
      <c r="L24" s="322"/>
      <c r="M24" s="322"/>
      <c r="N24" s="322"/>
      <c r="P24" s="3">
        <v>40</v>
      </c>
    </row>
    <row r="25" spans="1:16" ht="15" customHeight="1">
      <c r="A25" s="317" t="s">
        <v>315</v>
      </c>
      <c r="B25" s="317"/>
      <c r="C25" s="324" t="s">
        <v>316</v>
      </c>
      <c r="D25" s="324"/>
      <c r="E25" s="324"/>
      <c r="F25" s="324"/>
      <c r="G25" s="324"/>
      <c r="H25" s="324"/>
      <c r="I25" s="324"/>
      <c r="J25" s="324"/>
      <c r="K25" s="324"/>
      <c r="L25" s="324"/>
      <c r="M25" s="52"/>
      <c r="N25" s="52"/>
      <c r="P25" s="3">
        <v>50</v>
      </c>
    </row>
    <row r="26" spans="1:14" ht="7.5" customHeight="1">
      <c r="A26" s="40"/>
      <c r="B26" s="40"/>
      <c r="C26" s="110"/>
      <c r="D26" s="52"/>
      <c r="E26" s="52"/>
      <c r="F26" s="52"/>
      <c r="G26" s="52"/>
      <c r="H26" s="52"/>
      <c r="I26" s="52"/>
      <c r="J26" s="52"/>
      <c r="K26" s="52"/>
      <c r="L26" s="52"/>
      <c r="M26" s="52"/>
      <c r="N26" s="52"/>
    </row>
    <row r="27" spans="1:14" ht="15" customHeight="1">
      <c r="A27" s="317" t="s">
        <v>317</v>
      </c>
      <c r="B27" s="317"/>
      <c r="C27" s="325">
        <v>47300</v>
      </c>
      <c r="D27" s="325"/>
      <c r="E27" s="52"/>
      <c r="F27" s="324" t="s">
        <v>318</v>
      </c>
      <c r="G27" s="324"/>
      <c r="H27" s="324"/>
      <c r="I27" s="324"/>
      <c r="J27" s="324"/>
      <c r="K27" s="324"/>
      <c r="L27" s="324"/>
      <c r="M27" s="52"/>
      <c r="N27" s="52"/>
    </row>
    <row r="28" spans="1:33" ht="7.5" customHeight="1">
      <c r="A28" s="40"/>
      <c r="B28" s="40"/>
      <c r="C28" s="52"/>
      <c r="D28" s="52"/>
      <c r="E28" s="52"/>
      <c r="F28" s="52"/>
      <c r="G28" s="52"/>
      <c r="H28" s="52"/>
      <c r="I28" s="52"/>
      <c r="J28" s="52"/>
      <c r="K28" s="52"/>
      <c r="L28" s="52"/>
      <c r="M28" s="52"/>
      <c r="N28" s="52"/>
      <c r="P28" s="112" t="s">
        <v>319</v>
      </c>
      <c r="Q28" t="s">
        <v>320</v>
      </c>
      <c r="R28" t="s">
        <v>321</v>
      </c>
      <c r="T28" t="s">
        <v>321</v>
      </c>
      <c r="U28" t="s">
        <v>322</v>
      </c>
      <c r="Z28" t="s">
        <v>3</v>
      </c>
      <c r="AB28" s="112" t="s">
        <v>3</v>
      </c>
      <c r="AC28" t="s">
        <v>0</v>
      </c>
      <c r="AF28" t="s">
        <v>323</v>
      </c>
      <c r="AG28" t="s">
        <v>324</v>
      </c>
    </row>
    <row r="29" spans="1:33" ht="15" customHeight="1">
      <c r="A29" s="317" t="s">
        <v>325</v>
      </c>
      <c r="B29" s="317"/>
      <c r="C29" s="324" t="s">
        <v>326</v>
      </c>
      <c r="D29" s="324"/>
      <c r="E29" s="324"/>
      <c r="F29" s="324"/>
      <c r="G29" s="324"/>
      <c r="H29" s="324"/>
      <c r="I29" s="324"/>
      <c r="J29" s="324"/>
      <c r="K29" s="324"/>
      <c r="L29" s="324"/>
      <c r="M29" s="52"/>
      <c r="N29" s="52"/>
      <c r="P29">
        <v>1</v>
      </c>
      <c r="Q29" t="s">
        <v>327</v>
      </c>
      <c r="R29">
        <v>16</v>
      </c>
      <c r="T29">
        <v>1</v>
      </c>
      <c r="U29" t="s">
        <v>328</v>
      </c>
      <c r="Z29" s="1" t="s">
        <v>329</v>
      </c>
      <c r="AB29">
        <v>1</v>
      </c>
      <c r="AC29" t="s">
        <v>330</v>
      </c>
      <c r="AD29">
        <v>1</v>
      </c>
      <c r="AF29">
        <v>11</v>
      </c>
      <c r="AG29" t="s">
        <v>331</v>
      </c>
    </row>
    <row r="30" spans="1:33" ht="7.5" customHeight="1">
      <c r="A30" s="40"/>
      <c r="B30" s="40"/>
      <c r="C30" s="52"/>
      <c r="D30" s="52"/>
      <c r="E30" s="52"/>
      <c r="F30" s="52"/>
      <c r="G30" s="52"/>
      <c r="H30" s="52"/>
      <c r="I30" s="52"/>
      <c r="J30" s="52"/>
      <c r="K30" s="52"/>
      <c r="L30" s="52"/>
      <c r="M30" s="52"/>
      <c r="N30" s="52"/>
      <c r="P30">
        <v>2</v>
      </c>
      <c r="Q30" t="s">
        <v>332</v>
      </c>
      <c r="R30">
        <v>14</v>
      </c>
      <c r="T30">
        <v>2</v>
      </c>
      <c r="U30" t="s">
        <v>333</v>
      </c>
      <c r="Z30" s="1" t="s">
        <v>334</v>
      </c>
      <c r="AB30">
        <v>2</v>
      </c>
      <c r="AC30" t="s">
        <v>335</v>
      </c>
      <c r="AD30">
        <v>2</v>
      </c>
      <c r="AF30">
        <v>12</v>
      </c>
      <c r="AG30" t="s">
        <v>336</v>
      </c>
    </row>
    <row r="31" spans="1:33" ht="15" customHeight="1">
      <c r="A31" s="317" t="s">
        <v>337</v>
      </c>
      <c r="B31" s="317"/>
      <c r="C31" s="326" t="s">
        <v>338</v>
      </c>
      <c r="D31" s="326"/>
      <c r="E31" s="326"/>
      <c r="F31" s="326"/>
      <c r="G31" s="326"/>
      <c r="H31" s="326"/>
      <c r="I31" s="326"/>
      <c r="J31" s="326"/>
      <c r="K31" s="52"/>
      <c r="L31" s="52"/>
      <c r="M31" s="52"/>
      <c r="N31" s="52"/>
      <c r="P31">
        <v>3</v>
      </c>
      <c r="Q31" t="s">
        <v>339</v>
      </c>
      <c r="R31">
        <v>16</v>
      </c>
      <c r="T31">
        <v>3</v>
      </c>
      <c r="U31" t="s">
        <v>340</v>
      </c>
      <c r="Z31" s="1" t="s">
        <v>341</v>
      </c>
      <c r="AB31">
        <v>3</v>
      </c>
      <c r="AC31" t="s">
        <v>342</v>
      </c>
      <c r="AD31">
        <v>3</v>
      </c>
      <c r="AF31">
        <v>13</v>
      </c>
      <c r="AG31" t="s">
        <v>343</v>
      </c>
    </row>
    <row r="32" spans="1:33" ht="7.5" customHeight="1">
      <c r="A32" s="40"/>
      <c r="B32" s="40"/>
      <c r="C32" s="110"/>
      <c r="D32" s="52"/>
      <c r="E32" s="52"/>
      <c r="F32" s="52"/>
      <c r="G32" s="52"/>
      <c r="H32" s="52"/>
      <c r="I32" s="52"/>
      <c r="J32" s="52"/>
      <c r="K32" s="52"/>
      <c r="L32" s="52"/>
      <c r="M32" s="52"/>
      <c r="N32" s="52"/>
      <c r="P32">
        <v>4</v>
      </c>
      <c r="Q32" t="s">
        <v>344</v>
      </c>
      <c r="R32">
        <v>8</v>
      </c>
      <c r="T32">
        <v>4</v>
      </c>
      <c r="U32" t="s">
        <v>345</v>
      </c>
      <c r="Z32" s="1" t="s">
        <v>346</v>
      </c>
      <c r="AB32">
        <v>4</v>
      </c>
      <c r="AC32" t="s">
        <v>347</v>
      </c>
      <c r="AD32">
        <v>4</v>
      </c>
      <c r="AF32">
        <v>21</v>
      </c>
      <c r="AG32" t="s">
        <v>348</v>
      </c>
    </row>
    <row r="33" spans="1:33" ht="15" customHeight="1">
      <c r="A33" s="317" t="s">
        <v>349</v>
      </c>
      <c r="B33" s="317"/>
      <c r="C33" s="327" t="s">
        <v>350</v>
      </c>
      <c r="D33" s="327"/>
      <c r="E33" s="327"/>
      <c r="F33" s="327"/>
      <c r="G33" s="327"/>
      <c r="H33" s="327"/>
      <c r="I33" s="327"/>
      <c r="J33" s="327"/>
      <c r="K33" s="52"/>
      <c r="L33" s="40"/>
      <c r="M33" s="40"/>
      <c r="N33" s="40"/>
      <c r="P33">
        <v>5</v>
      </c>
      <c r="Q33" t="s">
        <v>351</v>
      </c>
      <c r="R33">
        <v>18</v>
      </c>
      <c r="T33">
        <v>5</v>
      </c>
      <c r="U33" t="s">
        <v>352</v>
      </c>
      <c r="Z33" s="1" t="s">
        <v>353</v>
      </c>
      <c r="AB33">
        <v>5</v>
      </c>
      <c r="AC33" t="s">
        <v>354</v>
      </c>
      <c r="AD33">
        <v>5</v>
      </c>
      <c r="AF33">
        <v>22</v>
      </c>
      <c r="AG33" t="s">
        <v>355</v>
      </c>
    </row>
    <row r="34" spans="1:33" ht="7.5" customHeight="1">
      <c r="A34" s="40"/>
      <c r="B34" s="40"/>
      <c r="C34" s="110"/>
      <c r="D34" s="52"/>
      <c r="E34" s="52"/>
      <c r="F34" s="52"/>
      <c r="G34" s="52"/>
      <c r="H34" s="52"/>
      <c r="I34" s="52"/>
      <c r="J34" s="52"/>
      <c r="K34" s="52"/>
      <c r="L34" s="52"/>
      <c r="M34" s="52"/>
      <c r="N34" s="52"/>
      <c r="P34">
        <v>6</v>
      </c>
      <c r="Q34" t="s">
        <v>356</v>
      </c>
      <c r="R34">
        <v>18</v>
      </c>
      <c r="T34">
        <v>6</v>
      </c>
      <c r="U34" t="s">
        <v>357</v>
      </c>
      <c r="Z34" s="1" t="s">
        <v>358</v>
      </c>
      <c r="AB34">
        <v>6</v>
      </c>
      <c r="AC34" t="s">
        <v>359</v>
      </c>
      <c r="AD34">
        <v>6</v>
      </c>
      <c r="AF34">
        <v>31</v>
      </c>
      <c r="AG34" t="s">
        <v>360</v>
      </c>
    </row>
    <row r="35" spans="1:33" ht="15" customHeight="1">
      <c r="A35" s="317" t="s">
        <v>361</v>
      </c>
      <c r="B35" s="317"/>
      <c r="C35" s="111">
        <v>297</v>
      </c>
      <c r="D35" s="328" t="str">
        <f>IF(C35&lt;&gt;"",LOOKUP(C35,P29:P584,Q29:Q584),"Nije upisana općina!")</f>
        <v>Ogulin</v>
      </c>
      <c r="E35" s="328"/>
      <c r="F35" s="328"/>
      <c r="G35" s="328"/>
      <c r="H35" s="52"/>
      <c r="I35" s="40"/>
      <c r="J35" s="40"/>
      <c r="K35" s="40"/>
      <c r="L35" s="40"/>
      <c r="M35" s="40"/>
      <c r="N35" s="40"/>
      <c r="P35">
        <v>7</v>
      </c>
      <c r="Q35" t="s">
        <v>362</v>
      </c>
      <c r="R35">
        <v>4</v>
      </c>
      <c r="T35">
        <v>7</v>
      </c>
      <c r="U35" t="s">
        <v>363</v>
      </c>
      <c r="Z35" s="1" t="s">
        <v>364</v>
      </c>
      <c r="AB35">
        <v>7</v>
      </c>
      <c r="AC35" t="s">
        <v>365</v>
      </c>
      <c r="AD35">
        <v>7</v>
      </c>
      <c r="AF35">
        <v>41</v>
      </c>
      <c r="AG35" t="s">
        <v>366</v>
      </c>
    </row>
    <row r="36" spans="1:33" ht="7.5" customHeight="1">
      <c r="A36" s="40"/>
      <c r="B36" s="40"/>
      <c r="C36" s="52"/>
      <c r="D36" s="52"/>
      <c r="E36" s="52"/>
      <c r="F36" s="52"/>
      <c r="G36" s="52"/>
      <c r="H36" s="52"/>
      <c r="I36" s="40"/>
      <c r="J36" s="40"/>
      <c r="K36" s="40"/>
      <c r="L36" s="40"/>
      <c r="M36" s="40"/>
      <c r="N36" s="40"/>
      <c r="P36">
        <v>8</v>
      </c>
      <c r="Q36" t="s">
        <v>367</v>
      </c>
      <c r="R36">
        <v>8</v>
      </c>
      <c r="T36">
        <v>8</v>
      </c>
      <c r="U36" t="s">
        <v>368</v>
      </c>
      <c r="Z36" s="1" t="s">
        <v>369</v>
      </c>
      <c r="AB36">
        <v>8</v>
      </c>
      <c r="AC36" t="s">
        <v>370</v>
      </c>
      <c r="AD36">
        <v>8</v>
      </c>
      <c r="AF36">
        <v>42</v>
      </c>
      <c r="AG36" t="s">
        <v>371</v>
      </c>
    </row>
    <row r="37" spans="1:30" ht="15" customHeight="1">
      <c r="A37" s="317" t="s">
        <v>372</v>
      </c>
      <c r="B37" s="317"/>
      <c r="C37" s="113">
        <f>IF(C35&lt;&gt;"",LOOKUP(C35,P29:P584,R29:R584),"")</f>
        <v>4</v>
      </c>
      <c r="D37" s="328" t="str">
        <f>IF(C37&lt;&gt;"",LOOKUP(C37,T29:T49,U29:U49),"")</f>
        <v>KARLOVAČKA</v>
      </c>
      <c r="E37" s="328"/>
      <c r="F37" s="328"/>
      <c r="G37" s="328"/>
      <c r="H37" s="329" t="s">
        <v>373</v>
      </c>
      <c r="I37" s="329"/>
      <c r="J37" s="329"/>
      <c r="K37" s="40"/>
      <c r="L37" s="52"/>
      <c r="M37" s="52"/>
      <c r="N37" s="40"/>
      <c r="P37">
        <v>9</v>
      </c>
      <c r="Q37" t="s">
        <v>374</v>
      </c>
      <c r="R37">
        <v>17</v>
      </c>
      <c r="T37">
        <v>9</v>
      </c>
      <c r="U37" t="s">
        <v>375</v>
      </c>
      <c r="Z37" s="1" t="s">
        <v>376</v>
      </c>
      <c r="AB37">
        <v>9</v>
      </c>
      <c r="AC37" t="s">
        <v>377</v>
      </c>
      <c r="AD37">
        <v>9</v>
      </c>
    </row>
    <row r="38" spans="1:30" ht="7.5" customHeight="1">
      <c r="A38" s="40"/>
      <c r="B38" s="40"/>
      <c r="C38" s="52"/>
      <c r="D38" s="52"/>
      <c r="E38" s="52"/>
      <c r="F38" s="52"/>
      <c r="G38" s="52"/>
      <c r="H38" s="52"/>
      <c r="I38" s="52"/>
      <c r="J38" s="52"/>
      <c r="K38" s="52"/>
      <c r="L38" s="52"/>
      <c r="M38" s="52"/>
      <c r="N38" s="40"/>
      <c r="P38">
        <v>10</v>
      </c>
      <c r="Q38" t="s">
        <v>378</v>
      </c>
      <c r="R38">
        <v>12</v>
      </c>
      <c r="T38">
        <v>10</v>
      </c>
      <c r="U38" t="s">
        <v>379</v>
      </c>
      <c r="Z38" s="1" t="s">
        <v>380</v>
      </c>
      <c r="AB38">
        <v>10</v>
      </c>
      <c r="AC38" t="s">
        <v>381</v>
      </c>
      <c r="AD38">
        <v>10</v>
      </c>
    </row>
    <row r="39" spans="1:30" ht="15" customHeight="1">
      <c r="A39" s="317" t="s">
        <v>382</v>
      </c>
      <c r="B39" s="317"/>
      <c r="C39" s="107" t="s">
        <v>383</v>
      </c>
      <c r="D39" s="330" t="str">
        <f>IF(C39&lt;&gt;"",LOOKUP(C39,Djel!A5:A621,Djel!B5:B621),"Djelatnost nije upisana!")</f>
        <v>Organizacija izvedbe projekata za zgrade</v>
      </c>
      <c r="E39" s="330"/>
      <c r="F39" s="330"/>
      <c r="G39" s="330"/>
      <c r="H39" s="114" t="str">
        <f>IF(Bilanca!Q1+RDG!Q1&gt;0,"DA","NE")</f>
        <v>DA</v>
      </c>
      <c r="I39" s="331" t="str">
        <f>IF(C17=32,"Samo bilanca, bez Računa dobiti i gubitka","Bilanca i Račun dobiti i gubitka")</f>
        <v>Bilanca i Račun dobiti i gubitka</v>
      </c>
      <c r="J39" s="331"/>
      <c r="K39" s="331"/>
      <c r="L39" s="331"/>
      <c r="M39" s="331"/>
      <c r="N39" s="331"/>
      <c r="P39">
        <v>11</v>
      </c>
      <c r="Q39" t="s">
        <v>384</v>
      </c>
      <c r="R39">
        <v>2</v>
      </c>
      <c r="T39">
        <v>11</v>
      </c>
      <c r="U39" t="s">
        <v>385</v>
      </c>
      <c r="Z39" s="1" t="s">
        <v>386</v>
      </c>
      <c r="AB39">
        <v>11</v>
      </c>
      <c r="AC39" t="s">
        <v>387</v>
      </c>
      <c r="AD39">
        <v>11</v>
      </c>
    </row>
    <row r="40" spans="1:30" ht="7.5" customHeight="1">
      <c r="A40" s="40"/>
      <c r="B40" s="40"/>
      <c r="C40" s="52"/>
      <c r="D40" s="330"/>
      <c r="E40" s="330"/>
      <c r="F40" s="330"/>
      <c r="G40" s="330"/>
      <c r="H40" s="52"/>
      <c r="I40" s="331"/>
      <c r="J40" s="331"/>
      <c r="K40" s="331"/>
      <c r="L40" s="331"/>
      <c r="M40" s="331"/>
      <c r="N40" s="331"/>
      <c r="P40">
        <v>12</v>
      </c>
      <c r="Q40" t="s">
        <v>388</v>
      </c>
      <c r="R40">
        <v>5</v>
      </c>
      <c r="T40">
        <v>12</v>
      </c>
      <c r="U40" t="s">
        <v>389</v>
      </c>
      <c r="Z40" s="1" t="s">
        <v>390</v>
      </c>
      <c r="AB40">
        <v>12</v>
      </c>
      <c r="AC40" t="s">
        <v>391</v>
      </c>
      <c r="AD40">
        <v>51</v>
      </c>
    </row>
    <row r="41" spans="1:30" ht="15" customHeight="1">
      <c r="A41" s="317" t="s">
        <v>392</v>
      </c>
      <c r="B41" s="317"/>
      <c r="C41" s="88" t="s">
        <v>393</v>
      </c>
      <c r="D41" s="330"/>
      <c r="E41" s="330"/>
      <c r="F41" s="330"/>
      <c r="G41" s="330"/>
      <c r="H41" s="114" t="str">
        <f>IF(PodDop!Q1&gt;0,"DA","NE")</f>
        <v>NE</v>
      </c>
      <c r="I41" s="331" t="s">
        <v>394</v>
      </c>
      <c r="J41" s="331"/>
      <c r="K41" s="331"/>
      <c r="L41" s="331"/>
      <c r="M41" s="331"/>
      <c r="N41" s="331"/>
      <c r="P41">
        <v>13</v>
      </c>
      <c r="Q41" t="s">
        <v>395</v>
      </c>
      <c r="R41">
        <v>14</v>
      </c>
      <c r="T41">
        <v>13</v>
      </c>
      <c r="U41" t="s">
        <v>396</v>
      </c>
      <c r="Z41" s="1" t="s">
        <v>397</v>
      </c>
      <c r="AB41">
        <v>13</v>
      </c>
      <c r="AC41" t="s">
        <v>398</v>
      </c>
      <c r="AD41">
        <v>51</v>
      </c>
    </row>
    <row r="42" spans="1:30" ht="7.5" customHeight="1">
      <c r="A42" s="40"/>
      <c r="B42" s="40"/>
      <c r="C42" s="110"/>
      <c r="D42" s="52"/>
      <c r="E42" s="52"/>
      <c r="F42" s="52"/>
      <c r="G42" s="52"/>
      <c r="H42" s="52"/>
      <c r="I42" s="331"/>
      <c r="J42" s="331"/>
      <c r="K42" s="331"/>
      <c r="L42" s="331"/>
      <c r="M42" s="331"/>
      <c r="N42" s="331"/>
      <c r="P42">
        <v>15</v>
      </c>
      <c r="Q42" t="s">
        <v>399</v>
      </c>
      <c r="R42">
        <v>20</v>
      </c>
      <c r="T42">
        <v>14</v>
      </c>
      <c r="U42" t="s">
        <v>400</v>
      </c>
      <c r="Z42" s="1" t="s">
        <v>401</v>
      </c>
      <c r="AB42">
        <v>14</v>
      </c>
      <c r="AC42" t="s">
        <v>402</v>
      </c>
      <c r="AD42">
        <v>51</v>
      </c>
    </row>
    <row r="43" spans="1:30" ht="15" customHeight="1">
      <c r="A43" s="317" t="s">
        <v>403</v>
      </c>
      <c r="B43" s="317"/>
      <c r="C43" s="88" t="s">
        <v>393</v>
      </c>
      <c r="D43" s="115" t="s">
        <v>404</v>
      </c>
      <c r="E43" s="320"/>
      <c r="F43" s="320"/>
      <c r="G43" s="52"/>
      <c r="H43" s="116" t="s">
        <v>405</v>
      </c>
      <c r="I43" s="331" t="s">
        <v>406</v>
      </c>
      <c r="J43" s="331"/>
      <c r="K43" s="331"/>
      <c r="L43" s="331"/>
      <c r="M43" s="331"/>
      <c r="N43" s="331"/>
      <c r="P43">
        <v>16</v>
      </c>
      <c r="Q43" t="s">
        <v>407</v>
      </c>
      <c r="R43">
        <v>14</v>
      </c>
      <c r="T43">
        <v>15</v>
      </c>
      <c r="U43" t="s">
        <v>408</v>
      </c>
      <c r="Z43" s="1" t="s">
        <v>409</v>
      </c>
      <c r="AB43">
        <v>15</v>
      </c>
      <c r="AC43" t="s">
        <v>410</v>
      </c>
      <c r="AD43">
        <v>51</v>
      </c>
    </row>
    <row r="44" spans="1:30" ht="7.5" customHeight="1">
      <c r="A44" s="40"/>
      <c r="B44" s="40"/>
      <c r="C44" s="52"/>
      <c r="D44" s="52"/>
      <c r="E44" s="52"/>
      <c r="F44" s="52"/>
      <c r="G44" s="52"/>
      <c r="H44" s="52"/>
      <c r="I44" s="331"/>
      <c r="J44" s="331"/>
      <c r="K44" s="331"/>
      <c r="L44" s="331"/>
      <c r="M44" s="331"/>
      <c r="N44" s="331"/>
      <c r="P44">
        <v>17</v>
      </c>
      <c r="Q44" t="s">
        <v>411</v>
      </c>
      <c r="R44">
        <v>13</v>
      </c>
      <c r="T44">
        <v>16</v>
      </c>
      <c r="U44" t="s">
        <v>412</v>
      </c>
      <c r="Z44" s="1" t="s">
        <v>413</v>
      </c>
      <c r="AB44">
        <v>81</v>
      </c>
      <c r="AC44" t="s">
        <v>414</v>
      </c>
      <c r="AD44">
        <v>5</v>
      </c>
    </row>
    <row r="45" spans="1:30" ht="15" customHeight="1">
      <c r="A45" s="317" t="s">
        <v>415</v>
      </c>
      <c r="B45" s="317"/>
      <c r="C45" s="88">
        <v>2</v>
      </c>
      <c r="D45" s="332" t="str">
        <f>IF(C45&lt;&gt;"",LOOKUP(C45,T52:T54,U52:U54),"Svrha predaje još nije odabrana")</f>
        <v>Predaja samo u svrhu javne objave</v>
      </c>
      <c r="E45" s="332"/>
      <c r="F45" s="332"/>
      <c r="G45" s="332"/>
      <c r="H45" s="114" t="str">
        <f>IF(OR(NT_I!Q1&lt;&gt;0,NT_D!Q1&lt;&gt;0),"DA","NE")</f>
        <v>NE</v>
      </c>
      <c r="I45" s="331" t="s">
        <v>416</v>
      </c>
      <c r="J45" s="331"/>
      <c r="K45" s="331"/>
      <c r="L45" s="331"/>
      <c r="M45" s="331"/>
      <c r="N45" s="331"/>
      <c r="P45">
        <v>18</v>
      </c>
      <c r="Q45" t="s">
        <v>417</v>
      </c>
      <c r="R45">
        <v>7</v>
      </c>
      <c r="T45">
        <v>17</v>
      </c>
      <c r="U45" t="s">
        <v>418</v>
      </c>
      <c r="Z45" s="1" t="s">
        <v>419</v>
      </c>
      <c r="AB45">
        <v>99</v>
      </c>
      <c r="AC45" t="s">
        <v>420</v>
      </c>
      <c r="AD45">
        <v>51</v>
      </c>
    </row>
    <row r="46" spans="1:26" ht="7.5" customHeight="1">
      <c r="A46" s="40"/>
      <c r="B46" s="40"/>
      <c r="C46" s="110"/>
      <c r="D46" s="332"/>
      <c r="E46" s="332"/>
      <c r="F46" s="332"/>
      <c r="G46" s="332"/>
      <c r="H46" s="52"/>
      <c r="I46" s="331"/>
      <c r="J46" s="331"/>
      <c r="K46" s="331"/>
      <c r="L46" s="331"/>
      <c r="M46" s="331"/>
      <c r="N46" s="331"/>
      <c r="P46">
        <v>19</v>
      </c>
      <c r="Q46" t="s">
        <v>421</v>
      </c>
      <c r="R46">
        <v>5</v>
      </c>
      <c r="T46">
        <v>18</v>
      </c>
      <c r="U46" t="s">
        <v>422</v>
      </c>
      <c r="Z46" s="1" t="s">
        <v>423</v>
      </c>
    </row>
    <row r="47" spans="1:26" ht="15" customHeight="1">
      <c r="A47" s="317" t="s">
        <v>424</v>
      </c>
      <c r="B47" s="317"/>
      <c r="C47" s="88">
        <v>1</v>
      </c>
      <c r="D47" s="333" t="str">
        <f>IF(C47&lt;&gt;"",LOOKUP(C47,Sifre!A6:A8,Sifre!B6:B8),"Veličina nije upisana")</f>
        <v>Mali poduzetnik</v>
      </c>
      <c r="E47" s="333"/>
      <c r="F47" s="333"/>
      <c r="G47" s="333"/>
      <c r="H47" s="116" t="s">
        <v>393</v>
      </c>
      <c r="I47" s="331" t="s">
        <v>425</v>
      </c>
      <c r="J47" s="331"/>
      <c r="K47" s="331"/>
      <c r="L47" s="331"/>
      <c r="M47" s="331"/>
      <c r="N47" s="331"/>
      <c r="P47">
        <v>20</v>
      </c>
      <c r="Q47" t="s">
        <v>426</v>
      </c>
      <c r="R47">
        <v>13</v>
      </c>
      <c r="T47">
        <v>19</v>
      </c>
      <c r="U47" t="s">
        <v>427</v>
      </c>
      <c r="Z47" s="1" t="s">
        <v>428</v>
      </c>
    </row>
    <row r="48" spans="1:26" ht="7.5" customHeight="1">
      <c r="A48" s="40"/>
      <c r="B48" s="40"/>
      <c r="C48" s="52"/>
      <c r="D48" s="333"/>
      <c r="E48" s="333"/>
      <c r="F48" s="333"/>
      <c r="G48" s="333"/>
      <c r="H48" s="52"/>
      <c r="I48" s="331"/>
      <c r="J48" s="331"/>
      <c r="K48" s="331"/>
      <c r="L48" s="331"/>
      <c r="M48" s="331"/>
      <c r="N48" s="331"/>
      <c r="P48">
        <v>21</v>
      </c>
      <c r="Q48" t="s">
        <v>429</v>
      </c>
      <c r="R48">
        <v>14</v>
      </c>
      <c r="T48">
        <v>20</v>
      </c>
      <c r="U48" t="s">
        <v>430</v>
      </c>
      <c r="Z48" s="1" t="s">
        <v>431</v>
      </c>
    </row>
    <row r="49" spans="1:26" ht="15" customHeight="1">
      <c r="A49" s="317" t="s">
        <v>432</v>
      </c>
      <c r="B49" s="317"/>
      <c r="C49" s="88">
        <v>11</v>
      </c>
      <c r="D49" s="333" t="str">
        <f>IF(C49&lt;&gt;"",LOOKUP(C49,AF29:AF36,AG29:AG36),"Oznaka vlasništva nije upisana")</f>
        <v>Državno vlasništvo (javno, komunalno i slično)</v>
      </c>
      <c r="E49" s="333"/>
      <c r="F49" s="333"/>
      <c r="G49" s="333"/>
      <c r="H49" s="116" t="s">
        <v>393</v>
      </c>
      <c r="I49" s="331" t="s">
        <v>433</v>
      </c>
      <c r="J49" s="331"/>
      <c r="K49" s="331"/>
      <c r="L49" s="331"/>
      <c r="M49" s="331"/>
      <c r="N49" s="331"/>
      <c r="P49">
        <v>22</v>
      </c>
      <c r="Q49" t="s">
        <v>434</v>
      </c>
      <c r="R49">
        <v>13</v>
      </c>
      <c r="T49">
        <v>21</v>
      </c>
      <c r="U49" t="s">
        <v>435</v>
      </c>
      <c r="Z49" s="1" t="s">
        <v>436</v>
      </c>
    </row>
    <row r="50" spans="1:26" ht="7.5" customHeight="1">
      <c r="A50" s="40"/>
      <c r="B50" s="40"/>
      <c r="C50" s="52"/>
      <c r="D50" s="333"/>
      <c r="E50" s="333"/>
      <c r="F50" s="333"/>
      <c r="G50" s="333"/>
      <c r="H50" s="52"/>
      <c r="I50" s="331"/>
      <c r="J50" s="331"/>
      <c r="K50" s="331"/>
      <c r="L50" s="331"/>
      <c r="M50" s="331"/>
      <c r="N50" s="331"/>
      <c r="P50">
        <v>23</v>
      </c>
      <c r="Q50" t="s">
        <v>437</v>
      </c>
      <c r="R50">
        <v>14</v>
      </c>
      <c r="Z50" s="1" t="s">
        <v>438</v>
      </c>
    </row>
    <row r="51" spans="1:26" ht="15" customHeight="1">
      <c r="A51" s="317" t="s">
        <v>439</v>
      </c>
      <c r="B51" s="317"/>
      <c r="C51" s="111">
        <v>100</v>
      </c>
      <c r="D51" s="52"/>
      <c r="E51" s="111"/>
      <c r="F51" s="52"/>
      <c r="G51" s="40"/>
      <c r="H51" s="116" t="s">
        <v>393</v>
      </c>
      <c r="I51" s="331" t="s">
        <v>440</v>
      </c>
      <c r="J51" s="331"/>
      <c r="K51" s="331"/>
      <c r="L51" s="331"/>
      <c r="M51" s="331"/>
      <c r="N51" s="331"/>
      <c r="P51">
        <v>24</v>
      </c>
      <c r="Q51" t="s">
        <v>441</v>
      </c>
      <c r="R51">
        <v>7</v>
      </c>
      <c r="T51" t="s">
        <v>442</v>
      </c>
      <c r="U51" t="s">
        <v>443</v>
      </c>
      <c r="Z51" s="1" t="s">
        <v>444</v>
      </c>
    </row>
    <row r="52" spans="1:26" ht="12" customHeight="1">
      <c r="A52" s="40"/>
      <c r="B52" s="40"/>
      <c r="C52" s="110" t="s">
        <v>445</v>
      </c>
      <c r="D52" s="52"/>
      <c r="E52" s="110" t="s">
        <v>446</v>
      </c>
      <c r="F52" s="52"/>
      <c r="G52" s="40"/>
      <c r="H52" s="52"/>
      <c r="I52" s="331"/>
      <c r="J52" s="331"/>
      <c r="K52" s="331"/>
      <c r="L52" s="331"/>
      <c r="M52" s="331"/>
      <c r="N52" s="331"/>
      <c r="P52">
        <v>25</v>
      </c>
      <c r="Q52" t="s">
        <v>447</v>
      </c>
      <c r="R52">
        <v>19</v>
      </c>
      <c r="T52">
        <v>1</v>
      </c>
      <c r="U52" t="s">
        <v>448</v>
      </c>
      <c r="Z52" s="1" t="s">
        <v>449</v>
      </c>
    </row>
    <row r="53" spans="1:26" ht="15" customHeight="1">
      <c r="A53" s="334" t="s">
        <v>450</v>
      </c>
      <c r="B53" s="334"/>
      <c r="C53" s="117">
        <v>45</v>
      </c>
      <c r="D53" s="51"/>
      <c r="E53" s="117">
        <v>47</v>
      </c>
      <c r="F53" s="51"/>
      <c r="G53" s="40"/>
      <c r="H53" s="116" t="s">
        <v>405</v>
      </c>
      <c r="I53" s="331" t="s">
        <v>451</v>
      </c>
      <c r="J53" s="331"/>
      <c r="K53" s="331"/>
      <c r="L53" s="331"/>
      <c r="M53" s="331"/>
      <c r="N53" s="331"/>
      <c r="P53">
        <v>26</v>
      </c>
      <c r="Q53" t="s">
        <v>452</v>
      </c>
      <c r="R53">
        <v>16</v>
      </c>
      <c r="T53">
        <v>2</v>
      </c>
      <c r="U53" t="s">
        <v>453</v>
      </c>
      <c r="Z53" s="1" t="s">
        <v>454</v>
      </c>
    </row>
    <row r="54" spans="1:26" ht="12" customHeight="1">
      <c r="A54" s="334"/>
      <c r="B54" s="334"/>
      <c r="C54" s="335" t="s">
        <v>455</v>
      </c>
      <c r="D54" s="335"/>
      <c r="E54" s="335" t="s">
        <v>456</v>
      </c>
      <c r="F54" s="335"/>
      <c r="G54" s="40"/>
      <c r="H54" s="52"/>
      <c r="I54" s="331"/>
      <c r="J54" s="331"/>
      <c r="K54" s="331"/>
      <c r="L54" s="331"/>
      <c r="M54" s="331"/>
      <c r="N54" s="331"/>
      <c r="P54">
        <v>27</v>
      </c>
      <c r="Q54" t="s">
        <v>457</v>
      </c>
      <c r="R54">
        <v>17</v>
      </c>
      <c r="T54">
        <v>3</v>
      </c>
      <c r="U54" t="s">
        <v>458</v>
      </c>
      <c r="Z54" s="1" t="s">
        <v>459</v>
      </c>
    </row>
    <row r="55" spans="1:26" ht="15" customHeight="1">
      <c r="A55" s="334" t="s">
        <v>460</v>
      </c>
      <c r="B55" s="334"/>
      <c r="C55" s="117">
        <v>45</v>
      </c>
      <c r="D55" s="51"/>
      <c r="E55" s="119">
        <v>47</v>
      </c>
      <c r="F55" s="51"/>
      <c r="G55" s="40"/>
      <c r="H55" s="116" t="s">
        <v>405</v>
      </c>
      <c r="I55" s="331" t="s">
        <v>461</v>
      </c>
      <c r="J55" s="331"/>
      <c r="K55" s="331"/>
      <c r="L55" s="331"/>
      <c r="M55" s="331"/>
      <c r="N55" s="331"/>
      <c r="P55">
        <v>29</v>
      </c>
      <c r="Q55" t="s">
        <v>462</v>
      </c>
      <c r="R55">
        <v>16</v>
      </c>
      <c r="Z55" s="1" t="s">
        <v>463</v>
      </c>
    </row>
    <row r="56" spans="1:26" ht="12" customHeight="1">
      <c r="A56" s="334"/>
      <c r="B56" s="334"/>
      <c r="C56" s="335" t="s">
        <v>455</v>
      </c>
      <c r="D56" s="335"/>
      <c r="E56" s="336" t="s">
        <v>456</v>
      </c>
      <c r="F56" s="336"/>
      <c r="G56" s="40"/>
      <c r="H56" s="52"/>
      <c r="I56" s="331"/>
      <c r="J56" s="331"/>
      <c r="K56" s="331"/>
      <c r="L56" s="331"/>
      <c r="M56" s="331"/>
      <c r="N56" s="331"/>
      <c r="P56">
        <v>30</v>
      </c>
      <c r="Q56" t="s">
        <v>464</v>
      </c>
      <c r="R56">
        <v>4</v>
      </c>
      <c r="T56" t="s">
        <v>465</v>
      </c>
      <c r="U56" t="s">
        <v>466</v>
      </c>
      <c r="Z56" s="1" t="s">
        <v>467</v>
      </c>
    </row>
    <row r="57" spans="1:26" ht="15" customHeight="1">
      <c r="A57" s="321" t="s">
        <v>468</v>
      </c>
      <c r="B57" s="321"/>
      <c r="C57" s="117">
        <v>12</v>
      </c>
      <c r="D57" s="52"/>
      <c r="E57" s="117">
        <v>12</v>
      </c>
      <c r="F57" s="52"/>
      <c r="G57" s="40"/>
      <c r="H57" s="116" t="s">
        <v>393</v>
      </c>
      <c r="I57" s="331" t="s">
        <v>469</v>
      </c>
      <c r="J57" s="331"/>
      <c r="K57" s="331"/>
      <c r="L57" s="331"/>
      <c r="M57" s="331"/>
      <c r="N57" s="331"/>
      <c r="P57">
        <v>32</v>
      </c>
      <c r="Q57" t="s">
        <v>470</v>
      </c>
      <c r="R57">
        <v>16</v>
      </c>
      <c r="T57">
        <v>1</v>
      </c>
      <c r="U57" t="s">
        <v>471</v>
      </c>
      <c r="Z57" s="1" t="s">
        <v>472</v>
      </c>
    </row>
    <row r="58" spans="1:26" ht="19.5" customHeight="1">
      <c r="A58" s="40"/>
      <c r="B58" s="40"/>
      <c r="C58" s="118" t="s">
        <v>455</v>
      </c>
      <c r="D58" s="52"/>
      <c r="E58" s="110" t="s">
        <v>456</v>
      </c>
      <c r="F58" s="52"/>
      <c r="G58" s="40"/>
      <c r="H58" s="52"/>
      <c r="I58" s="331"/>
      <c r="J58" s="331"/>
      <c r="K58" s="331"/>
      <c r="L58" s="331"/>
      <c r="M58" s="331"/>
      <c r="N58" s="331"/>
      <c r="P58">
        <v>33</v>
      </c>
      <c r="Q58" t="s">
        <v>473</v>
      </c>
      <c r="R58">
        <v>1</v>
      </c>
      <c r="T58">
        <v>2</v>
      </c>
      <c r="U58" t="s">
        <v>474</v>
      </c>
      <c r="Z58" s="1" t="s">
        <v>475</v>
      </c>
    </row>
    <row r="59" spans="1:26" ht="15" customHeight="1">
      <c r="A59" s="337" t="s">
        <v>476</v>
      </c>
      <c r="B59" s="337"/>
      <c r="C59" s="337"/>
      <c r="D59" s="337"/>
      <c r="E59" s="337"/>
      <c r="F59" s="337"/>
      <c r="G59" s="320"/>
      <c r="H59" s="320"/>
      <c r="I59" s="40"/>
      <c r="J59" s="320"/>
      <c r="K59" s="320"/>
      <c r="L59" s="40"/>
      <c r="M59" s="320"/>
      <c r="N59" s="320"/>
      <c r="P59">
        <v>34</v>
      </c>
      <c r="Q59" t="s">
        <v>477</v>
      </c>
      <c r="R59">
        <v>1</v>
      </c>
      <c r="T59">
        <v>3</v>
      </c>
      <c r="U59" t="s">
        <v>478</v>
      </c>
      <c r="Z59" s="1" t="s">
        <v>479</v>
      </c>
    </row>
    <row r="60" spans="1:26" ht="7.5" customHeight="1">
      <c r="A60" s="120"/>
      <c r="B60" s="120"/>
      <c r="C60" s="40"/>
      <c r="D60" s="40"/>
      <c r="E60" s="40"/>
      <c r="F60" s="40"/>
      <c r="G60" s="338"/>
      <c r="H60" s="338"/>
      <c r="I60" s="40"/>
      <c r="J60" s="40"/>
      <c r="K60" s="121"/>
      <c r="L60" s="40"/>
      <c r="M60" s="338"/>
      <c r="N60" s="338"/>
      <c r="P60">
        <v>35</v>
      </c>
      <c r="Q60" t="s">
        <v>480</v>
      </c>
      <c r="R60">
        <v>11</v>
      </c>
      <c r="Z60" s="1" t="s">
        <v>481</v>
      </c>
    </row>
    <row r="61" spans="1:26" ht="15" customHeight="1">
      <c r="A61" s="339" t="s">
        <v>482</v>
      </c>
      <c r="B61" s="339"/>
      <c r="C61" s="339"/>
      <c r="D61" s="339"/>
      <c r="E61" s="339"/>
      <c r="F61" s="339"/>
      <c r="G61" s="320"/>
      <c r="H61" s="320"/>
      <c r="I61" s="122"/>
      <c r="J61" s="320"/>
      <c r="K61" s="320"/>
      <c r="L61" s="122"/>
      <c r="M61" s="320"/>
      <c r="N61" s="320"/>
      <c r="P61">
        <v>36</v>
      </c>
      <c r="Q61" t="s">
        <v>483</v>
      </c>
      <c r="R61">
        <v>5</v>
      </c>
      <c r="Z61" s="1" t="s">
        <v>484</v>
      </c>
    </row>
    <row r="62" spans="1:26" ht="19.5" customHeight="1">
      <c r="A62" s="123"/>
      <c r="B62" s="123"/>
      <c r="C62" s="340"/>
      <c r="D62" s="340"/>
      <c r="E62" s="52"/>
      <c r="F62" s="340"/>
      <c r="G62" s="340"/>
      <c r="H62" s="38"/>
      <c r="I62" s="52"/>
      <c r="J62" s="52"/>
      <c r="K62" s="52"/>
      <c r="L62" s="52"/>
      <c r="M62" s="38"/>
      <c r="N62" s="38"/>
      <c r="P62">
        <v>37</v>
      </c>
      <c r="Q62" t="s">
        <v>485</v>
      </c>
      <c r="R62">
        <v>9</v>
      </c>
      <c r="Z62" s="1" t="s">
        <v>486</v>
      </c>
    </row>
    <row r="63" spans="1:26" ht="15" customHeight="1">
      <c r="A63" s="321" t="s">
        <v>487</v>
      </c>
      <c r="B63" s="321"/>
      <c r="C63" s="320"/>
      <c r="D63" s="320"/>
      <c r="E63" s="40"/>
      <c r="F63" s="324"/>
      <c r="G63" s="324"/>
      <c r="H63" s="324"/>
      <c r="I63" s="324"/>
      <c r="J63" s="324"/>
      <c r="K63" s="324"/>
      <c r="L63" s="324"/>
      <c r="M63" s="324"/>
      <c r="N63" s="324"/>
      <c r="P63">
        <v>38</v>
      </c>
      <c r="Q63" t="s">
        <v>488</v>
      </c>
      <c r="R63">
        <v>8</v>
      </c>
      <c r="Z63" s="1" t="s">
        <v>489</v>
      </c>
    </row>
    <row r="64" spans="1:26" ht="12" customHeight="1">
      <c r="A64" s="123"/>
      <c r="B64" s="123"/>
      <c r="C64" s="340" t="s">
        <v>490</v>
      </c>
      <c r="D64" s="340"/>
      <c r="E64" s="52"/>
      <c r="F64" s="336" t="s">
        <v>491</v>
      </c>
      <c r="G64" s="336"/>
      <c r="H64" s="38"/>
      <c r="I64" s="38"/>
      <c r="J64" s="38"/>
      <c r="K64" s="38"/>
      <c r="L64" s="38"/>
      <c r="M64" s="38"/>
      <c r="N64" s="38"/>
      <c r="P64">
        <v>39</v>
      </c>
      <c r="Q64" t="s">
        <v>492</v>
      </c>
      <c r="R64">
        <v>12</v>
      </c>
      <c r="Z64" s="1" t="s">
        <v>493</v>
      </c>
    </row>
    <row r="65" spans="1:26" ht="15" customHeight="1">
      <c r="A65" s="321" t="s">
        <v>494</v>
      </c>
      <c r="B65" s="321"/>
      <c r="C65" s="324" t="s">
        <v>495</v>
      </c>
      <c r="D65" s="324"/>
      <c r="E65" s="324"/>
      <c r="F65" s="324"/>
      <c r="G65" s="324"/>
      <c r="H65" s="324"/>
      <c r="I65" s="324"/>
      <c r="J65" s="324"/>
      <c r="K65" s="40"/>
      <c r="L65" s="40"/>
      <c r="M65" s="40"/>
      <c r="N65" s="124" t="str">
        <f>"Verzija Excel datoteke: "&amp;MID(Skriveni!B4,1,1)&amp;"."&amp;MID(Skriveni!B4,2,1)&amp;"."&amp;MID(Skriveni!B4,3,1)&amp;"."</f>
        <v>Verzija Excel datoteke: 2.0.4.</v>
      </c>
      <c r="P65">
        <v>40</v>
      </c>
      <c r="Q65" t="s">
        <v>496</v>
      </c>
      <c r="R65">
        <v>18</v>
      </c>
      <c r="Z65" s="1" t="s">
        <v>497</v>
      </c>
    </row>
    <row r="66" spans="1:26" ht="12" customHeight="1">
      <c r="A66" s="40"/>
      <c r="B66" s="40"/>
      <c r="C66" s="125" t="s">
        <v>498</v>
      </c>
      <c r="D66" s="40"/>
      <c r="E66" s="40"/>
      <c r="F66" s="40"/>
      <c r="G66" s="40"/>
      <c r="H66" s="40"/>
      <c r="I66" s="40"/>
      <c r="J66" s="40"/>
      <c r="K66" s="40"/>
      <c r="L66" s="40"/>
      <c r="M66" s="40"/>
      <c r="N66" s="52"/>
      <c r="P66">
        <v>41</v>
      </c>
      <c r="Q66" t="s">
        <v>499</v>
      </c>
      <c r="R66">
        <v>2</v>
      </c>
      <c r="Z66" s="1" t="s">
        <v>500</v>
      </c>
    </row>
    <row r="67" spans="1:26" ht="15" customHeight="1">
      <c r="A67" s="321" t="s">
        <v>501</v>
      </c>
      <c r="B67" s="321"/>
      <c r="C67" s="343" t="s">
        <v>502</v>
      </c>
      <c r="D67" s="343"/>
      <c r="E67" s="343"/>
      <c r="F67" s="40"/>
      <c r="G67" s="126" t="s">
        <v>503</v>
      </c>
      <c r="H67" s="343" t="s">
        <v>504</v>
      </c>
      <c r="I67" s="343"/>
      <c r="J67" s="343"/>
      <c r="K67" s="40"/>
      <c r="L67" s="40"/>
      <c r="M67" s="40"/>
      <c r="N67" s="52"/>
      <c r="P67">
        <v>42</v>
      </c>
      <c r="Q67" t="s">
        <v>505</v>
      </c>
      <c r="R67">
        <v>18</v>
      </c>
      <c r="Z67" s="1" t="s">
        <v>506</v>
      </c>
    </row>
    <row r="68" spans="1:26" ht="7.5" customHeight="1">
      <c r="A68" s="40"/>
      <c r="B68" s="40"/>
      <c r="C68" s="125"/>
      <c r="D68" s="40"/>
      <c r="E68" s="40"/>
      <c r="F68" s="40"/>
      <c r="G68" s="40"/>
      <c r="H68" s="40"/>
      <c r="I68" s="40"/>
      <c r="J68" s="40"/>
      <c r="K68" s="40"/>
      <c r="L68" s="40"/>
      <c r="M68" s="40"/>
      <c r="N68" s="52"/>
      <c r="P68">
        <v>43</v>
      </c>
      <c r="Q68" t="s">
        <v>507</v>
      </c>
      <c r="R68">
        <v>18</v>
      </c>
      <c r="Z68" s="1" t="s">
        <v>508</v>
      </c>
    </row>
    <row r="69" spans="1:26" ht="15" customHeight="1">
      <c r="A69" s="321" t="s">
        <v>337</v>
      </c>
      <c r="B69" s="321"/>
      <c r="C69" s="344" t="s">
        <v>509</v>
      </c>
      <c r="D69" s="344"/>
      <c r="E69" s="344"/>
      <c r="F69" s="344"/>
      <c r="G69" s="344"/>
      <c r="H69" s="344"/>
      <c r="I69" s="344"/>
      <c r="J69" s="344"/>
      <c r="K69" s="40"/>
      <c r="L69" s="40"/>
      <c r="M69" s="40"/>
      <c r="N69" s="52"/>
      <c r="P69">
        <v>44</v>
      </c>
      <c r="Q69" t="s">
        <v>510</v>
      </c>
      <c r="R69">
        <v>16</v>
      </c>
      <c r="Z69" s="1" t="s">
        <v>511</v>
      </c>
    </row>
    <row r="70" spans="1:26" ht="12" customHeight="1">
      <c r="A70" s="40"/>
      <c r="B70" s="40"/>
      <c r="C70" s="40"/>
      <c r="D70" s="40"/>
      <c r="E70" s="40"/>
      <c r="F70" s="40"/>
      <c r="G70" s="40"/>
      <c r="H70" s="40"/>
      <c r="I70" s="40"/>
      <c r="J70" s="40"/>
      <c r="K70" s="40"/>
      <c r="L70" s="40"/>
      <c r="M70" s="40"/>
      <c r="N70" s="52"/>
      <c r="P70">
        <v>46</v>
      </c>
      <c r="Q70" t="s">
        <v>512</v>
      </c>
      <c r="R70">
        <v>12</v>
      </c>
      <c r="Z70" s="1" t="s">
        <v>513</v>
      </c>
    </row>
    <row r="71" spans="1:26" ht="15" customHeight="1">
      <c r="A71" s="317" t="s">
        <v>514</v>
      </c>
      <c r="B71" s="317"/>
      <c r="C71" s="343" t="s">
        <v>515</v>
      </c>
      <c r="D71" s="343"/>
      <c r="E71" s="343"/>
      <c r="F71" s="343"/>
      <c r="G71" s="343"/>
      <c r="H71" s="343"/>
      <c r="I71" s="40"/>
      <c r="J71" s="127"/>
      <c r="K71" s="127"/>
      <c r="L71" s="127"/>
      <c r="M71" s="127"/>
      <c r="N71" s="127"/>
      <c r="P71">
        <v>47</v>
      </c>
      <c r="Q71" t="s">
        <v>516</v>
      </c>
      <c r="R71">
        <v>18</v>
      </c>
      <c r="Z71" s="1" t="s">
        <v>517</v>
      </c>
    </row>
    <row r="72" spans="1:26" ht="12" customHeight="1">
      <c r="A72" s="128"/>
      <c r="B72" s="128"/>
      <c r="C72" s="341" t="s">
        <v>518</v>
      </c>
      <c r="D72" s="341"/>
      <c r="E72" s="341"/>
      <c r="F72" s="341"/>
      <c r="G72" s="341"/>
      <c r="H72" s="341"/>
      <c r="I72" s="40"/>
      <c r="J72" s="82"/>
      <c r="K72" s="82"/>
      <c r="L72" s="82"/>
      <c r="M72" s="129"/>
      <c r="N72" s="129"/>
      <c r="P72">
        <v>48</v>
      </c>
      <c r="Q72" t="s">
        <v>519</v>
      </c>
      <c r="R72">
        <v>5</v>
      </c>
      <c r="Z72" s="1" t="s">
        <v>520</v>
      </c>
    </row>
    <row r="73" spans="1:26" ht="49.5" customHeight="1">
      <c r="A73" s="130">
        <f>IF(Kont!M1&gt;0,"Obrazac još uvijek sadrži neke pogreške! Ako ste završili s popunjavanjem, provjerite radni list Kont. Broj pogreški: "&amp;Kont!M1,"")</f>
      </c>
      <c r="B73" s="40"/>
      <c r="C73" s="40"/>
      <c r="D73" s="40"/>
      <c r="E73" s="40"/>
      <c r="F73" s="40"/>
      <c r="G73" s="40"/>
      <c r="H73" s="40"/>
      <c r="I73" s="40"/>
      <c r="J73" s="40"/>
      <c r="K73" s="40"/>
      <c r="L73" s="40"/>
      <c r="M73" s="40"/>
      <c r="N73" s="52"/>
      <c r="P73">
        <v>49</v>
      </c>
      <c r="Q73" t="s">
        <v>521</v>
      </c>
      <c r="R73">
        <v>4</v>
      </c>
      <c r="Z73" s="1" t="s">
        <v>522</v>
      </c>
    </row>
    <row r="74" spans="1:26" ht="12.75" customHeight="1">
      <c r="A74" s="40"/>
      <c r="B74" s="40"/>
      <c r="C74" s="40"/>
      <c r="D74" s="40"/>
      <c r="E74" s="40"/>
      <c r="F74" s="40"/>
      <c r="G74" s="128" t="s">
        <v>523</v>
      </c>
      <c r="H74" s="342" t="s">
        <v>524</v>
      </c>
      <c r="I74" s="342"/>
      <c r="J74" s="342"/>
      <c r="K74" s="342"/>
      <c r="L74" s="342"/>
      <c r="M74" s="40"/>
      <c r="N74" s="52"/>
      <c r="P74">
        <v>50</v>
      </c>
      <c r="Q74" t="s">
        <v>525</v>
      </c>
      <c r="R74">
        <v>17</v>
      </c>
      <c r="Z74" s="1" t="s">
        <v>526</v>
      </c>
    </row>
    <row r="75" spans="16:26" ht="4.5" customHeight="1">
      <c r="P75">
        <v>51</v>
      </c>
      <c r="Q75" t="s">
        <v>527</v>
      </c>
      <c r="R75">
        <v>15</v>
      </c>
      <c r="Z75" s="1" t="s">
        <v>528</v>
      </c>
    </row>
    <row r="76" spans="16:26" ht="12.75" hidden="1">
      <c r="P76">
        <v>52</v>
      </c>
      <c r="Q76" t="s">
        <v>529</v>
      </c>
      <c r="R76">
        <v>8</v>
      </c>
      <c r="Z76" s="1" t="s">
        <v>530</v>
      </c>
    </row>
    <row r="77" spans="16:26" ht="12.75" hidden="1">
      <c r="P77">
        <v>53</v>
      </c>
      <c r="Q77" t="s">
        <v>531</v>
      </c>
      <c r="R77">
        <v>8</v>
      </c>
      <c r="Z77" s="1" t="s">
        <v>532</v>
      </c>
    </row>
    <row r="78" spans="16:26" ht="12.75" hidden="1">
      <c r="P78">
        <v>54</v>
      </c>
      <c r="Q78" t="s">
        <v>533</v>
      </c>
      <c r="R78">
        <v>10</v>
      </c>
      <c r="Z78" s="1" t="s">
        <v>534</v>
      </c>
    </row>
    <row r="79" spans="16:26" ht="12.75" hidden="1">
      <c r="P79">
        <v>55</v>
      </c>
      <c r="Q79" t="s">
        <v>535</v>
      </c>
      <c r="R79">
        <v>8</v>
      </c>
      <c r="Z79" s="1" t="s">
        <v>536</v>
      </c>
    </row>
    <row r="80" spans="16:26" ht="12.75" hidden="1">
      <c r="P80">
        <v>56</v>
      </c>
      <c r="Q80" t="s">
        <v>537</v>
      </c>
      <c r="R80">
        <v>10</v>
      </c>
      <c r="Z80" s="1" t="s">
        <v>538</v>
      </c>
    </row>
    <row r="81" spans="16:26" ht="12.75" hidden="1">
      <c r="P81">
        <v>57</v>
      </c>
      <c r="Q81" t="s">
        <v>539</v>
      </c>
      <c r="R81">
        <v>10</v>
      </c>
      <c r="Z81" s="1" t="s">
        <v>540</v>
      </c>
    </row>
    <row r="82" spans="16:26" ht="12.75" hidden="1">
      <c r="P82">
        <v>58</v>
      </c>
      <c r="Q82" t="s">
        <v>541</v>
      </c>
      <c r="R82">
        <v>11</v>
      </c>
      <c r="Z82" s="1" t="s">
        <v>542</v>
      </c>
    </row>
    <row r="83" spans="16:26" ht="12.75" hidden="1">
      <c r="P83">
        <v>60</v>
      </c>
      <c r="Q83" t="s">
        <v>543</v>
      </c>
      <c r="R83">
        <v>20</v>
      </c>
      <c r="Z83" s="1" t="s">
        <v>544</v>
      </c>
    </row>
    <row r="84" spans="16:26" ht="12.75" hidden="1">
      <c r="P84">
        <v>61</v>
      </c>
      <c r="Q84" t="s">
        <v>545</v>
      </c>
      <c r="R84">
        <v>8</v>
      </c>
      <c r="Z84" s="1" t="s">
        <v>546</v>
      </c>
    </row>
    <row r="85" spans="16:26" ht="12.75" hidden="1">
      <c r="P85">
        <v>63</v>
      </c>
      <c r="Q85" t="s">
        <v>547</v>
      </c>
      <c r="R85">
        <v>7</v>
      </c>
      <c r="Z85" s="1" t="s">
        <v>548</v>
      </c>
    </row>
    <row r="86" spans="16:26" ht="12.75" hidden="1">
      <c r="P86">
        <v>64</v>
      </c>
      <c r="Q86" t="s">
        <v>549</v>
      </c>
      <c r="R86">
        <v>14</v>
      </c>
      <c r="Z86" s="1" t="s">
        <v>550</v>
      </c>
    </row>
    <row r="87" spans="16:26" ht="12.75" hidden="1">
      <c r="P87">
        <v>65</v>
      </c>
      <c r="Q87" t="s">
        <v>551</v>
      </c>
      <c r="R87">
        <v>14</v>
      </c>
      <c r="Z87" s="1" t="s">
        <v>552</v>
      </c>
    </row>
    <row r="88" spans="16:26" ht="12.75" hidden="1">
      <c r="P88">
        <v>66</v>
      </c>
      <c r="Q88" t="s">
        <v>553</v>
      </c>
      <c r="R88">
        <v>14</v>
      </c>
      <c r="Z88" s="1" t="s">
        <v>554</v>
      </c>
    </row>
    <row r="89" spans="16:26" ht="12.75" hidden="1">
      <c r="P89">
        <v>67</v>
      </c>
      <c r="Q89" t="s">
        <v>555</v>
      </c>
      <c r="R89">
        <v>7</v>
      </c>
      <c r="Z89" s="1" t="s">
        <v>556</v>
      </c>
    </row>
    <row r="90" spans="16:26" ht="12.75" hidden="1">
      <c r="P90">
        <v>68</v>
      </c>
      <c r="Q90" t="s">
        <v>557</v>
      </c>
      <c r="R90">
        <v>12</v>
      </c>
      <c r="Z90" s="1" t="s">
        <v>558</v>
      </c>
    </row>
    <row r="91" spans="16:26" ht="12.75" hidden="1">
      <c r="P91">
        <v>69</v>
      </c>
      <c r="Q91" t="s">
        <v>559</v>
      </c>
      <c r="R91">
        <v>8</v>
      </c>
      <c r="Z91" s="1" t="s">
        <v>560</v>
      </c>
    </row>
    <row r="92" spans="16:26" ht="12.75" hidden="1">
      <c r="P92">
        <v>70</v>
      </c>
      <c r="Q92" t="s">
        <v>561</v>
      </c>
      <c r="R92">
        <v>2</v>
      </c>
      <c r="Z92" s="1" t="s">
        <v>562</v>
      </c>
    </row>
    <row r="93" spans="16:26" ht="12.75" hidden="1">
      <c r="P93">
        <v>71</v>
      </c>
      <c r="Q93" t="s">
        <v>563</v>
      </c>
      <c r="R93">
        <v>7</v>
      </c>
      <c r="Z93" s="1" t="s">
        <v>564</v>
      </c>
    </row>
    <row r="94" spans="16:26" ht="12.75" hidden="1">
      <c r="P94">
        <v>72</v>
      </c>
      <c r="Q94" t="s">
        <v>565</v>
      </c>
      <c r="R94">
        <v>17</v>
      </c>
      <c r="Z94" s="1" t="s">
        <v>566</v>
      </c>
    </row>
    <row r="95" spans="16:26" ht="12.75" hidden="1">
      <c r="P95">
        <v>74</v>
      </c>
      <c r="Q95" t="s">
        <v>567</v>
      </c>
      <c r="R95">
        <v>8</v>
      </c>
      <c r="Z95" s="1" t="s">
        <v>568</v>
      </c>
    </row>
    <row r="96" spans="16:26" ht="12.75" hidden="1">
      <c r="P96">
        <v>75</v>
      </c>
      <c r="Q96" t="s">
        <v>569</v>
      </c>
      <c r="R96">
        <v>20</v>
      </c>
      <c r="Z96" s="1" t="s">
        <v>570</v>
      </c>
    </row>
    <row r="97" spans="16:26" ht="12.75" hidden="1">
      <c r="P97">
        <v>77</v>
      </c>
      <c r="Q97" t="s">
        <v>571</v>
      </c>
      <c r="R97">
        <v>17</v>
      </c>
      <c r="Z97" s="1" t="s">
        <v>572</v>
      </c>
    </row>
    <row r="98" spans="16:26" ht="12.75" hidden="1">
      <c r="P98">
        <v>78</v>
      </c>
      <c r="Q98" t="s">
        <v>573</v>
      </c>
      <c r="R98">
        <v>20</v>
      </c>
      <c r="Z98" s="1" t="s">
        <v>574</v>
      </c>
    </row>
    <row r="99" spans="16:26" ht="12.75" hidden="1">
      <c r="P99">
        <v>79</v>
      </c>
      <c r="Q99" t="s">
        <v>575</v>
      </c>
      <c r="R99">
        <v>2</v>
      </c>
      <c r="Z99" s="1" t="s">
        <v>576</v>
      </c>
    </row>
    <row r="100" spans="16:26" ht="12.75" hidden="1">
      <c r="P100">
        <v>80</v>
      </c>
      <c r="Q100" t="s">
        <v>577</v>
      </c>
      <c r="R100">
        <v>5</v>
      </c>
      <c r="Z100" s="1" t="s">
        <v>578</v>
      </c>
    </row>
    <row r="101" spans="16:26" ht="12.75" hidden="1">
      <c r="P101">
        <v>81</v>
      </c>
      <c r="Q101" t="s">
        <v>579</v>
      </c>
      <c r="R101">
        <v>12</v>
      </c>
      <c r="Z101" s="1" t="s">
        <v>580</v>
      </c>
    </row>
    <row r="102" spans="16:26" ht="12.75" hidden="1">
      <c r="P102">
        <v>82</v>
      </c>
      <c r="Q102" t="s">
        <v>581</v>
      </c>
      <c r="R102">
        <v>20</v>
      </c>
      <c r="Z102" s="1" t="s">
        <v>582</v>
      </c>
    </row>
    <row r="103" spans="16:26" ht="12.75" hidden="1">
      <c r="P103">
        <v>83</v>
      </c>
      <c r="Q103" t="s">
        <v>583</v>
      </c>
      <c r="R103">
        <v>3</v>
      </c>
      <c r="Z103" s="1" t="s">
        <v>584</v>
      </c>
    </row>
    <row r="104" spans="16:26" ht="12.75" hidden="1">
      <c r="P104">
        <v>84</v>
      </c>
      <c r="Q104" t="s">
        <v>585</v>
      </c>
      <c r="R104">
        <v>9</v>
      </c>
      <c r="Z104" s="1" t="s">
        <v>586</v>
      </c>
    </row>
    <row r="105" spans="16:26" ht="12.75" hidden="1">
      <c r="P105">
        <v>85</v>
      </c>
      <c r="Q105" t="s">
        <v>587</v>
      </c>
      <c r="R105">
        <v>5</v>
      </c>
      <c r="Z105" s="1" t="s">
        <v>588</v>
      </c>
    </row>
    <row r="106" spans="16:26" ht="12.75" hidden="1">
      <c r="P106">
        <v>86</v>
      </c>
      <c r="Q106" t="s">
        <v>589</v>
      </c>
      <c r="R106">
        <v>14</v>
      </c>
      <c r="Z106" s="1" t="s">
        <v>590</v>
      </c>
    </row>
    <row r="107" spans="16:26" ht="12.75" hidden="1">
      <c r="P107">
        <v>87</v>
      </c>
      <c r="Q107" t="s">
        <v>591</v>
      </c>
      <c r="R107">
        <v>17</v>
      </c>
      <c r="Z107" s="1" t="s">
        <v>592</v>
      </c>
    </row>
    <row r="108" spans="16:26" ht="12.75" hidden="1">
      <c r="P108">
        <v>88</v>
      </c>
      <c r="Q108" t="s">
        <v>593</v>
      </c>
      <c r="R108">
        <v>17</v>
      </c>
      <c r="Z108" s="1" t="s">
        <v>594</v>
      </c>
    </row>
    <row r="109" spans="16:26" ht="12.75" hidden="1">
      <c r="P109">
        <v>89</v>
      </c>
      <c r="Q109" t="s">
        <v>595</v>
      </c>
      <c r="R109">
        <v>20</v>
      </c>
      <c r="Z109" s="1" t="s">
        <v>596</v>
      </c>
    </row>
    <row r="110" spans="16:26" ht="12.75" hidden="1">
      <c r="P110">
        <v>90</v>
      </c>
      <c r="Q110" t="s">
        <v>597</v>
      </c>
      <c r="R110">
        <v>4</v>
      </c>
      <c r="Z110" s="1" t="s">
        <v>598</v>
      </c>
    </row>
    <row r="111" spans="16:26" ht="12.75" hidden="1">
      <c r="P111">
        <v>91</v>
      </c>
      <c r="Q111" t="s">
        <v>599</v>
      </c>
      <c r="R111">
        <v>14</v>
      </c>
      <c r="Z111" s="1" t="s">
        <v>600</v>
      </c>
    </row>
    <row r="112" spans="16:26" ht="12.75" hidden="1">
      <c r="P112">
        <v>92</v>
      </c>
      <c r="Q112" t="s">
        <v>601</v>
      </c>
      <c r="R112">
        <v>16</v>
      </c>
      <c r="Z112" s="1" t="s">
        <v>602</v>
      </c>
    </row>
    <row r="113" spans="16:26" ht="12.75" hidden="1">
      <c r="P113">
        <v>94</v>
      </c>
      <c r="Q113" t="s">
        <v>603</v>
      </c>
      <c r="R113">
        <v>14</v>
      </c>
      <c r="Z113" s="1" t="s">
        <v>604</v>
      </c>
    </row>
    <row r="114" spans="16:26" ht="12.75" hidden="1">
      <c r="P114">
        <v>95</v>
      </c>
      <c r="Q114" t="s">
        <v>605</v>
      </c>
      <c r="R114">
        <v>15</v>
      </c>
      <c r="Z114" s="1" t="s">
        <v>606</v>
      </c>
    </row>
    <row r="115" spans="16:26" ht="12.75" hidden="1">
      <c r="P115">
        <v>96</v>
      </c>
      <c r="Q115" t="s">
        <v>607</v>
      </c>
      <c r="R115">
        <v>6</v>
      </c>
      <c r="Z115" s="1" t="s">
        <v>608</v>
      </c>
    </row>
    <row r="116" spans="16:26" ht="12.75" hidden="1">
      <c r="P116">
        <v>97</v>
      </c>
      <c r="Q116" t="s">
        <v>609</v>
      </c>
      <c r="R116">
        <v>1</v>
      </c>
      <c r="Z116" s="1" t="s">
        <v>610</v>
      </c>
    </row>
    <row r="117" spans="16:26" ht="12.75" hidden="1">
      <c r="P117">
        <v>98</v>
      </c>
      <c r="Q117" t="s">
        <v>611</v>
      </c>
      <c r="R117">
        <v>19</v>
      </c>
      <c r="Z117" s="1" t="s">
        <v>612</v>
      </c>
    </row>
    <row r="118" spans="16:26" ht="12.75" hidden="1">
      <c r="P118">
        <v>99</v>
      </c>
      <c r="Q118" t="s">
        <v>613</v>
      </c>
      <c r="R118">
        <v>4</v>
      </c>
      <c r="Z118" s="1" t="s">
        <v>614</v>
      </c>
    </row>
    <row r="119" spans="16:26" ht="12.75" hidden="1">
      <c r="P119">
        <v>100</v>
      </c>
      <c r="Q119" t="s">
        <v>615</v>
      </c>
      <c r="R119">
        <v>17</v>
      </c>
      <c r="Z119" s="1" t="s">
        <v>616</v>
      </c>
    </row>
    <row r="120" spans="16:26" ht="12.75" hidden="1">
      <c r="P120">
        <v>101</v>
      </c>
      <c r="Q120" t="s">
        <v>617</v>
      </c>
      <c r="R120">
        <v>1</v>
      </c>
      <c r="Z120" s="1" t="s">
        <v>618</v>
      </c>
    </row>
    <row r="121" spans="16:26" ht="12.75" hidden="1">
      <c r="P121">
        <v>102</v>
      </c>
      <c r="Q121" t="s">
        <v>619</v>
      </c>
      <c r="R121">
        <v>3</v>
      </c>
      <c r="Z121" s="1" t="s">
        <v>620</v>
      </c>
    </row>
    <row r="122" spans="16:26" ht="12.75" hidden="1">
      <c r="P122">
        <v>103</v>
      </c>
      <c r="Q122" t="s">
        <v>621</v>
      </c>
      <c r="R122">
        <v>14</v>
      </c>
      <c r="Z122" s="1" t="s">
        <v>622</v>
      </c>
    </row>
    <row r="123" spans="16:26" ht="12.75" hidden="1">
      <c r="P123">
        <v>104</v>
      </c>
      <c r="Q123" t="s">
        <v>623</v>
      </c>
      <c r="R123">
        <v>6</v>
      </c>
      <c r="Z123" s="1" t="s">
        <v>624</v>
      </c>
    </row>
    <row r="124" spans="16:26" ht="12.75" hidden="1">
      <c r="P124">
        <v>105</v>
      </c>
      <c r="Q124" t="s">
        <v>625</v>
      </c>
      <c r="R124">
        <v>7</v>
      </c>
      <c r="Z124" s="1" t="s">
        <v>626</v>
      </c>
    </row>
    <row r="125" spans="16:26" ht="12.75" hidden="1">
      <c r="P125">
        <v>106</v>
      </c>
      <c r="Q125" t="s">
        <v>627</v>
      </c>
      <c r="R125">
        <v>14</v>
      </c>
      <c r="Z125" s="1" t="s">
        <v>628</v>
      </c>
    </row>
    <row r="126" spans="16:26" ht="12.75" hidden="1">
      <c r="P126">
        <v>107</v>
      </c>
      <c r="Q126" t="s">
        <v>629</v>
      </c>
      <c r="R126">
        <v>6</v>
      </c>
      <c r="Z126" s="1" t="s">
        <v>630</v>
      </c>
    </row>
    <row r="127" spans="16:26" ht="12.75" hidden="1">
      <c r="P127">
        <v>108</v>
      </c>
      <c r="Q127" t="s">
        <v>631</v>
      </c>
      <c r="R127">
        <v>2</v>
      </c>
      <c r="Z127" s="1" t="s">
        <v>632</v>
      </c>
    </row>
    <row r="128" spans="16:26" ht="12.75" hidden="1">
      <c r="P128">
        <v>110</v>
      </c>
      <c r="Q128" t="s">
        <v>633</v>
      </c>
      <c r="R128">
        <v>14</v>
      </c>
      <c r="Z128" s="1" t="s">
        <v>634</v>
      </c>
    </row>
    <row r="129" spans="16:26" ht="12.75" hidden="1">
      <c r="P129">
        <v>111</v>
      </c>
      <c r="Q129" t="s">
        <v>635</v>
      </c>
      <c r="R129">
        <v>14</v>
      </c>
      <c r="Z129" s="1" t="s">
        <v>636</v>
      </c>
    </row>
    <row r="130" spans="16:26" ht="12.75" hidden="1">
      <c r="P130">
        <v>113</v>
      </c>
      <c r="Q130" t="s">
        <v>637</v>
      </c>
      <c r="R130">
        <v>15</v>
      </c>
      <c r="Z130" s="1" t="s">
        <v>638</v>
      </c>
    </row>
    <row r="131" spans="16:26" ht="12.75" hidden="1">
      <c r="P131">
        <v>114</v>
      </c>
      <c r="Q131" t="s">
        <v>639</v>
      </c>
      <c r="R131">
        <v>1</v>
      </c>
      <c r="Z131" s="1" t="s">
        <v>640</v>
      </c>
    </row>
    <row r="132" spans="16:26" ht="12.75" hidden="1">
      <c r="P132">
        <v>115</v>
      </c>
      <c r="Q132" t="s">
        <v>641</v>
      </c>
      <c r="R132">
        <v>6</v>
      </c>
      <c r="Z132" s="1" t="s">
        <v>642</v>
      </c>
    </row>
    <row r="133" spans="16:26" ht="12.75" hidden="1">
      <c r="P133">
        <v>116</v>
      </c>
      <c r="Q133" t="s">
        <v>643</v>
      </c>
      <c r="R133">
        <v>14</v>
      </c>
      <c r="Z133" s="1" t="s">
        <v>644</v>
      </c>
    </row>
    <row r="134" spans="16:26" ht="12.75" hidden="1">
      <c r="P134">
        <v>117</v>
      </c>
      <c r="Q134" t="s">
        <v>645</v>
      </c>
      <c r="R134">
        <v>8</v>
      </c>
      <c r="Z134" s="1" t="s">
        <v>646</v>
      </c>
    </row>
    <row r="135" spans="16:26" ht="12.75" hidden="1">
      <c r="P135">
        <v>118</v>
      </c>
      <c r="Q135" t="s">
        <v>647</v>
      </c>
      <c r="R135">
        <v>12</v>
      </c>
      <c r="Z135" s="1" t="s">
        <v>648</v>
      </c>
    </row>
    <row r="136" spans="16:26" ht="12.75" hidden="1">
      <c r="P136">
        <v>119</v>
      </c>
      <c r="Q136" t="s">
        <v>649</v>
      </c>
      <c r="R136">
        <v>7</v>
      </c>
      <c r="Z136" s="1" t="s">
        <v>650</v>
      </c>
    </row>
    <row r="137" spans="16:26" ht="12.75" hidden="1">
      <c r="P137">
        <v>120</v>
      </c>
      <c r="Q137" t="s">
        <v>651</v>
      </c>
      <c r="R137">
        <v>4</v>
      </c>
      <c r="Z137" s="1" t="s">
        <v>652</v>
      </c>
    </row>
    <row r="138" spans="16:26" ht="12.75" hidden="1">
      <c r="P138">
        <v>121</v>
      </c>
      <c r="Q138" t="s">
        <v>653</v>
      </c>
      <c r="R138">
        <v>3</v>
      </c>
      <c r="Z138" s="1" t="s">
        <v>654</v>
      </c>
    </row>
    <row r="139" spans="16:26" ht="12.75" hidden="1">
      <c r="P139">
        <v>122</v>
      </c>
      <c r="Q139" t="s">
        <v>655</v>
      </c>
      <c r="R139">
        <v>6</v>
      </c>
      <c r="Z139" s="1" t="s">
        <v>656</v>
      </c>
    </row>
    <row r="140" spans="16:26" ht="12.75" hidden="1">
      <c r="P140">
        <v>123</v>
      </c>
      <c r="Q140" t="s">
        <v>657</v>
      </c>
      <c r="R140">
        <v>20</v>
      </c>
      <c r="Z140" s="1" t="s">
        <v>658</v>
      </c>
    </row>
    <row r="141" spans="16:26" ht="12.75" hidden="1">
      <c r="P141">
        <v>124</v>
      </c>
      <c r="Q141" t="s">
        <v>659</v>
      </c>
      <c r="R141">
        <v>14</v>
      </c>
      <c r="Z141" s="1" t="s">
        <v>660</v>
      </c>
    </row>
    <row r="142" spans="16:26" ht="12.75" hidden="1">
      <c r="P142">
        <v>125</v>
      </c>
      <c r="Q142" t="s">
        <v>661</v>
      </c>
      <c r="R142">
        <v>2</v>
      </c>
      <c r="Z142" s="1" t="s">
        <v>662</v>
      </c>
    </row>
    <row r="143" spans="16:26" ht="12.75" hidden="1">
      <c r="P143">
        <v>127</v>
      </c>
      <c r="Q143" t="s">
        <v>663</v>
      </c>
      <c r="R143">
        <v>12</v>
      </c>
      <c r="Z143" s="1" t="s">
        <v>664</v>
      </c>
    </row>
    <row r="144" spans="16:26" ht="12.75" hidden="1">
      <c r="P144">
        <v>129</v>
      </c>
      <c r="Q144" t="s">
        <v>665</v>
      </c>
      <c r="R144">
        <v>5</v>
      </c>
      <c r="Z144" s="1" t="s">
        <v>666</v>
      </c>
    </row>
    <row r="145" spans="16:26" ht="12.75" hidden="1">
      <c r="P145">
        <v>130</v>
      </c>
      <c r="Q145" t="s">
        <v>667</v>
      </c>
      <c r="R145">
        <v>9</v>
      </c>
      <c r="Z145" s="1" t="s">
        <v>668</v>
      </c>
    </row>
    <row r="146" spans="16:26" ht="12.75" hidden="1">
      <c r="P146">
        <v>131</v>
      </c>
      <c r="Q146" t="s">
        <v>669</v>
      </c>
      <c r="R146">
        <v>13</v>
      </c>
      <c r="Z146" s="1" t="s">
        <v>670</v>
      </c>
    </row>
    <row r="147" spans="16:26" ht="12.75" hidden="1">
      <c r="P147">
        <v>132</v>
      </c>
      <c r="Q147" t="s">
        <v>671</v>
      </c>
      <c r="R147">
        <v>18</v>
      </c>
      <c r="Z147" s="1" t="s">
        <v>672</v>
      </c>
    </row>
    <row r="148" spans="16:26" ht="12.75" hidden="1">
      <c r="P148">
        <v>133</v>
      </c>
      <c r="Q148" t="s">
        <v>673</v>
      </c>
      <c r="R148">
        <v>21</v>
      </c>
      <c r="Z148" s="1" t="s">
        <v>674</v>
      </c>
    </row>
    <row r="149" spans="16:26" ht="12.75" hidden="1">
      <c r="P149">
        <v>134</v>
      </c>
      <c r="Q149" t="s">
        <v>675</v>
      </c>
      <c r="R149">
        <v>17</v>
      </c>
      <c r="Z149" s="1" t="s">
        <v>676</v>
      </c>
    </row>
    <row r="150" spans="16:26" ht="12.75" hidden="1">
      <c r="P150">
        <v>135</v>
      </c>
      <c r="Q150" t="s">
        <v>677</v>
      </c>
      <c r="R150">
        <v>1</v>
      </c>
      <c r="Z150" s="1" t="s">
        <v>678</v>
      </c>
    </row>
    <row r="151" spans="16:26" ht="12.75" hidden="1">
      <c r="P151">
        <v>136</v>
      </c>
      <c r="Q151" t="s">
        <v>679</v>
      </c>
      <c r="R151">
        <v>10</v>
      </c>
      <c r="Z151" s="1" t="s">
        <v>680</v>
      </c>
    </row>
    <row r="152" spans="16:26" ht="12.75" hidden="1">
      <c r="P152">
        <v>137</v>
      </c>
      <c r="Q152" t="s">
        <v>681</v>
      </c>
      <c r="R152">
        <v>16</v>
      </c>
      <c r="Z152" s="1" t="s">
        <v>682</v>
      </c>
    </row>
    <row r="153" spans="16:26" ht="12.75" hidden="1">
      <c r="P153">
        <v>138</v>
      </c>
      <c r="Q153" t="s">
        <v>683</v>
      </c>
      <c r="R153">
        <v>18</v>
      </c>
      <c r="Z153" s="1" t="s">
        <v>684</v>
      </c>
    </row>
    <row r="154" spans="16:26" ht="12.75" hidden="1">
      <c r="P154">
        <v>139</v>
      </c>
      <c r="Q154" t="s">
        <v>685</v>
      </c>
      <c r="R154">
        <v>7</v>
      </c>
      <c r="Z154" s="1" t="s">
        <v>686</v>
      </c>
    </row>
    <row r="155" spans="16:26" ht="12.75" hidden="1">
      <c r="P155">
        <v>140</v>
      </c>
      <c r="Q155" t="s">
        <v>687</v>
      </c>
      <c r="R155">
        <v>12</v>
      </c>
      <c r="Z155" s="1" t="s">
        <v>688</v>
      </c>
    </row>
    <row r="156" spans="16:26" ht="12.75" hidden="1">
      <c r="P156">
        <v>141</v>
      </c>
      <c r="Q156" t="s">
        <v>689</v>
      </c>
      <c r="R156">
        <v>16</v>
      </c>
      <c r="Z156" s="1" t="s">
        <v>690</v>
      </c>
    </row>
    <row r="157" spans="16:26" ht="12.75" hidden="1">
      <c r="P157">
        <v>144</v>
      </c>
      <c r="Q157" t="s">
        <v>691</v>
      </c>
      <c r="R157">
        <v>7</v>
      </c>
      <c r="Z157" s="1" t="s">
        <v>692</v>
      </c>
    </row>
    <row r="158" spans="16:26" ht="12.75" hidden="1">
      <c r="P158">
        <v>145</v>
      </c>
      <c r="Q158" t="s">
        <v>693</v>
      </c>
      <c r="R158">
        <v>6</v>
      </c>
      <c r="Z158" s="1" t="s">
        <v>694</v>
      </c>
    </row>
    <row r="159" spans="16:26" ht="12.75" hidden="1">
      <c r="P159">
        <v>146</v>
      </c>
      <c r="Q159" t="s">
        <v>695</v>
      </c>
      <c r="R159">
        <v>2</v>
      </c>
      <c r="Z159" s="1" t="s">
        <v>696</v>
      </c>
    </row>
    <row r="160" spans="16:26" ht="12.75" hidden="1">
      <c r="P160">
        <v>148</v>
      </c>
      <c r="Q160" t="s">
        <v>697</v>
      </c>
      <c r="R160">
        <v>17</v>
      </c>
      <c r="Z160" s="1" t="s">
        <v>698</v>
      </c>
    </row>
    <row r="161" spans="16:26" ht="12.75" hidden="1">
      <c r="P161">
        <v>149</v>
      </c>
      <c r="Q161" t="s">
        <v>699</v>
      </c>
      <c r="R161">
        <v>3</v>
      </c>
      <c r="Z161" s="1" t="s">
        <v>700</v>
      </c>
    </row>
    <row r="162" spans="16:26" ht="12.75" hidden="1">
      <c r="P162">
        <v>150</v>
      </c>
      <c r="Q162" t="s">
        <v>701</v>
      </c>
      <c r="R162">
        <v>3</v>
      </c>
      <c r="Z162" s="1" t="s">
        <v>702</v>
      </c>
    </row>
    <row r="163" spans="16:26" ht="12.75" hidden="1">
      <c r="P163">
        <v>151</v>
      </c>
      <c r="Q163" t="s">
        <v>703</v>
      </c>
      <c r="R163">
        <v>5</v>
      </c>
      <c r="Z163" s="1" t="s">
        <v>704</v>
      </c>
    </row>
    <row r="164" spans="16:26" ht="12.75" hidden="1">
      <c r="P164">
        <v>152</v>
      </c>
      <c r="Q164" t="s">
        <v>705</v>
      </c>
      <c r="R164">
        <v>2</v>
      </c>
      <c r="Z164" s="1" t="s">
        <v>706</v>
      </c>
    </row>
    <row r="165" spans="16:26" ht="12.75" hidden="1">
      <c r="P165">
        <v>153</v>
      </c>
      <c r="Q165" t="s">
        <v>707</v>
      </c>
      <c r="R165">
        <v>17</v>
      </c>
      <c r="Z165" s="1" t="s">
        <v>708</v>
      </c>
    </row>
    <row r="166" spans="16:26" ht="12.75" hidden="1">
      <c r="P166">
        <v>154</v>
      </c>
      <c r="Q166" t="s">
        <v>709</v>
      </c>
      <c r="R166">
        <v>16</v>
      </c>
      <c r="Z166" s="1" t="s">
        <v>710</v>
      </c>
    </row>
    <row r="167" spans="16:26" ht="12.75" hidden="1">
      <c r="P167">
        <v>155</v>
      </c>
      <c r="Q167" t="s">
        <v>711</v>
      </c>
      <c r="R167">
        <v>17</v>
      </c>
      <c r="Z167" s="1" t="s">
        <v>712</v>
      </c>
    </row>
    <row r="168" spans="16:26" ht="12.75" hidden="1">
      <c r="P168">
        <v>156</v>
      </c>
      <c r="Q168" t="s">
        <v>713</v>
      </c>
      <c r="R168">
        <v>5</v>
      </c>
      <c r="Z168" s="1" t="s">
        <v>714</v>
      </c>
    </row>
    <row r="169" spans="16:26" ht="12.75" hidden="1">
      <c r="P169">
        <v>158</v>
      </c>
      <c r="Q169" t="s">
        <v>715</v>
      </c>
      <c r="R169">
        <v>1</v>
      </c>
      <c r="Z169" s="1" t="s">
        <v>716</v>
      </c>
    </row>
    <row r="170" spans="16:26" ht="12.75" hidden="1">
      <c r="P170">
        <v>159</v>
      </c>
      <c r="Q170" t="s">
        <v>717</v>
      </c>
      <c r="R170">
        <v>16</v>
      </c>
      <c r="Z170" s="1" t="s">
        <v>718</v>
      </c>
    </row>
    <row r="171" spans="16:26" ht="12.75" hidden="1">
      <c r="P171">
        <v>161</v>
      </c>
      <c r="Q171" t="s">
        <v>719</v>
      </c>
      <c r="R171">
        <v>7</v>
      </c>
      <c r="Z171" s="1" t="s">
        <v>720</v>
      </c>
    </row>
    <row r="172" spans="16:26" ht="12.75" hidden="1">
      <c r="P172">
        <v>163</v>
      </c>
      <c r="Q172" t="s">
        <v>721</v>
      </c>
      <c r="R172">
        <v>1</v>
      </c>
      <c r="Z172" s="1" t="s">
        <v>722</v>
      </c>
    </row>
    <row r="173" spans="16:26" ht="12.75" hidden="1">
      <c r="P173">
        <v>164</v>
      </c>
      <c r="Q173" t="s">
        <v>723</v>
      </c>
      <c r="R173">
        <v>11</v>
      </c>
      <c r="Z173" s="1" t="s">
        <v>724</v>
      </c>
    </row>
    <row r="174" spans="16:26" ht="12.75" hidden="1">
      <c r="P174">
        <v>165</v>
      </c>
      <c r="Q174" t="s">
        <v>725</v>
      </c>
      <c r="R174">
        <v>5</v>
      </c>
      <c r="Z174" s="1" t="s">
        <v>726</v>
      </c>
    </row>
    <row r="175" spans="16:26" ht="12.75" hidden="1">
      <c r="P175">
        <v>166</v>
      </c>
      <c r="Q175" t="s">
        <v>727</v>
      </c>
      <c r="R175">
        <v>16</v>
      </c>
      <c r="Z175" s="1" t="s">
        <v>728</v>
      </c>
    </row>
    <row r="176" spans="16:26" ht="12.75" hidden="1">
      <c r="P176">
        <v>167</v>
      </c>
      <c r="Q176" t="s">
        <v>729</v>
      </c>
      <c r="R176">
        <v>13</v>
      </c>
      <c r="Z176" s="1" t="s">
        <v>730</v>
      </c>
    </row>
    <row r="177" spans="16:26" ht="12.75" hidden="1">
      <c r="P177">
        <v>168</v>
      </c>
      <c r="Q177" t="s">
        <v>731</v>
      </c>
      <c r="R177">
        <v>3</v>
      </c>
      <c r="Z177" s="1" t="s">
        <v>732</v>
      </c>
    </row>
    <row r="178" spans="16:26" ht="12.75" hidden="1">
      <c r="P178">
        <v>169</v>
      </c>
      <c r="Q178" t="s">
        <v>733</v>
      </c>
      <c r="R178">
        <v>1</v>
      </c>
      <c r="Z178" s="1" t="s">
        <v>734</v>
      </c>
    </row>
    <row r="179" spans="16:26" ht="12.75" hidden="1">
      <c r="P179">
        <v>170</v>
      </c>
      <c r="Q179" t="s">
        <v>735</v>
      </c>
      <c r="R179">
        <v>8</v>
      </c>
      <c r="Z179" s="1" t="s">
        <v>736</v>
      </c>
    </row>
    <row r="180" spans="16:26" ht="12.75" hidden="1">
      <c r="P180">
        <v>171</v>
      </c>
      <c r="Q180" t="s">
        <v>737</v>
      </c>
      <c r="R180">
        <v>17</v>
      </c>
      <c r="Z180" s="1" t="s">
        <v>738</v>
      </c>
    </row>
    <row r="181" spans="16:26" ht="12.75" hidden="1">
      <c r="P181">
        <v>172</v>
      </c>
      <c r="Q181" t="s">
        <v>739</v>
      </c>
      <c r="R181">
        <v>4</v>
      </c>
      <c r="Z181" s="1" t="s">
        <v>740</v>
      </c>
    </row>
    <row r="182" spans="16:26" ht="12.75" hidden="1">
      <c r="P182">
        <v>173</v>
      </c>
      <c r="Q182" t="s">
        <v>741</v>
      </c>
      <c r="R182">
        <v>13</v>
      </c>
      <c r="Z182" s="1" t="s">
        <v>742</v>
      </c>
    </row>
    <row r="183" spans="16:26" ht="12.75" hidden="1">
      <c r="P183">
        <v>175</v>
      </c>
      <c r="Q183" t="s">
        <v>743</v>
      </c>
      <c r="R183">
        <v>18</v>
      </c>
      <c r="Z183" s="1" t="s">
        <v>744</v>
      </c>
    </row>
    <row r="184" spans="16:26" ht="12.75" hidden="1">
      <c r="P184">
        <v>176</v>
      </c>
      <c r="Q184" t="s">
        <v>745</v>
      </c>
      <c r="R184">
        <v>7</v>
      </c>
      <c r="Z184" s="1" t="s">
        <v>746</v>
      </c>
    </row>
    <row r="185" spans="16:26" ht="12.75" hidden="1">
      <c r="P185">
        <v>177</v>
      </c>
      <c r="Q185" t="s">
        <v>747</v>
      </c>
      <c r="R185">
        <v>11</v>
      </c>
      <c r="Z185" s="1" t="s">
        <v>748</v>
      </c>
    </row>
    <row r="186" spans="16:26" ht="12.75" hidden="1">
      <c r="P186">
        <v>178</v>
      </c>
      <c r="Q186" t="s">
        <v>749</v>
      </c>
      <c r="R186">
        <v>9</v>
      </c>
      <c r="Z186" s="1" t="s">
        <v>750</v>
      </c>
    </row>
    <row r="187" spans="16:26" ht="12.75" hidden="1">
      <c r="P187">
        <v>179</v>
      </c>
      <c r="Q187" t="s">
        <v>751</v>
      </c>
      <c r="R187">
        <v>4</v>
      </c>
      <c r="Z187" s="1" t="s">
        <v>752</v>
      </c>
    </row>
    <row r="188" spans="16:26" ht="12.75" hidden="1">
      <c r="P188">
        <v>180</v>
      </c>
      <c r="Q188" t="s">
        <v>753</v>
      </c>
      <c r="R188">
        <v>8</v>
      </c>
      <c r="Z188" s="1" t="s">
        <v>754</v>
      </c>
    </row>
    <row r="189" spans="16:26" ht="12.75" hidden="1">
      <c r="P189">
        <v>181</v>
      </c>
      <c r="Q189" t="s">
        <v>755</v>
      </c>
      <c r="R189">
        <v>17</v>
      </c>
      <c r="Z189" s="1" t="s">
        <v>756</v>
      </c>
    </row>
    <row r="190" spans="16:26" ht="12.75" hidden="1">
      <c r="P190">
        <v>183</v>
      </c>
      <c r="Q190" t="s">
        <v>757</v>
      </c>
      <c r="R190">
        <v>15</v>
      </c>
      <c r="Z190" s="1" t="s">
        <v>758</v>
      </c>
    </row>
    <row r="191" spans="16:26" ht="12.75" hidden="1">
      <c r="P191">
        <v>184</v>
      </c>
      <c r="Q191" t="s">
        <v>759</v>
      </c>
      <c r="R191">
        <v>15</v>
      </c>
      <c r="Z191" s="1" t="s">
        <v>760</v>
      </c>
    </row>
    <row r="192" spans="16:26" ht="12.75" hidden="1">
      <c r="P192">
        <v>185</v>
      </c>
      <c r="Q192" t="s">
        <v>761</v>
      </c>
      <c r="R192">
        <v>12</v>
      </c>
      <c r="Z192" s="1" t="s">
        <v>762</v>
      </c>
    </row>
    <row r="193" spans="16:26" ht="12.75" hidden="1">
      <c r="P193">
        <v>186</v>
      </c>
      <c r="Q193" t="s">
        <v>763</v>
      </c>
      <c r="R193">
        <v>8</v>
      </c>
      <c r="Z193" s="1" t="s">
        <v>764</v>
      </c>
    </row>
    <row r="194" spans="16:26" ht="12.75" hidden="1">
      <c r="P194">
        <v>187</v>
      </c>
      <c r="Q194" t="s">
        <v>765</v>
      </c>
      <c r="R194">
        <v>2</v>
      </c>
      <c r="Z194" s="1" t="s">
        <v>766</v>
      </c>
    </row>
    <row r="195" spans="16:26" ht="12.75" hidden="1">
      <c r="P195">
        <v>189</v>
      </c>
      <c r="Q195" t="s">
        <v>767</v>
      </c>
      <c r="R195">
        <v>5</v>
      </c>
      <c r="Z195" s="1" t="s">
        <v>768</v>
      </c>
    </row>
    <row r="196" spans="16:26" ht="12.75" hidden="1">
      <c r="P196">
        <v>190</v>
      </c>
      <c r="Q196" t="s">
        <v>769</v>
      </c>
      <c r="R196">
        <v>1</v>
      </c>
      <c r="Z196" s="1" t="s">
        <v>770</v>
      </c>
    </row>
    <row r="197" spans="16:26" ht="12.75" hidden="1">
      <c r="P197">
        <v>192</v>
      </c>
      <c r="Q197" t="s">
        <v>771</v>
      </c>
      <c r="R197">
        <v>17</v>
      </c>
      <c r="Z197" s="1" t="s">
        <v>772</v>
      </c>
    </row>
    <row r="198" spans="16:26" ht="12.75" hidden="1">
      <c r="P198">
        <v>193</v>
      </c>
      <c r="Q198" t="s">
        <v>773</v>
      </c>
      <c r="R198">
        <v>1</v>
      </c>
      <c r="Z198" s="1" t="s">
        <v>774</v>
      </c>
    </row>
    <row r="199" spans="16:26" ht="12.75" hidden="1">
      <c r="P199">
        <v>194</v>
      </c>
      <c r="Q199" t="s">
        <v>775</v>
      </c>
      <c r="R199">
        <v>6</v>
      </c>
      <c r="Z199" s="1" t="s">
        <v>776</v>
      </c>
    </row>
    <row r="200" spans="16:26" ht="12.75" hidden="1">
      <c r="P200">
        <v>195</v>
      </c>
      <c r="Q200" t="s">
        <v>777</v>
      </c>
      <c r="R200">
        <v>14</v>
      </c>
      <c r="Z200" s="1" t="s">
        <v>778</v>
      </c>
    </row>
    <row r="201" spans="16:26" ht="12.75" hidden="1">
      <c r="P201">
        <v>196</v>
      </c>
      <c r="Q201" t="s">
        <v>779</v>
      </c>
      <c r="R201">
        <v>15</v>
      </c>
      <c r="Z201" s="1" t="s">
        <v>780</v>
      </c>
    </row>
    <row r="202" spans="16:26" ht="12.75" hidden="1">
      <c r="P202">
        <v>197</v>
      </c>
      <c r="Q202" t="s">
        <v>781</v>
      </c>
      <c r="R202">
        <v>17</v>
      </c>
      <c r="Z202" s="1" t="s">
        <v>782</v>
      </c>
    </row>
    <row r="203" spans="16:26" ht="12.75" hidden="1">
      <c r="P203">
        <v>198</v>
      </c>
      <c r="Q203" t="s">
        <v>783</v>
      </c>
      <c r="R203">
        <v>19</v>
      </c>
      <c r="Z203" s="1" t="s">
        <v>784</v>
      </c>
    </row>
    <row r="204" spans="16:26" ht="12.75" hidden="1">
      <c r="P204">
        <v>199</v>
      </c>
      <c r="Q204" t="s">
        <v>785</v>
      </c>
      <c r="R204">
        <v>7</v>
      </c>
      <c r="Z204" s="1" t="s">
        <v>786</v>
      </c>
    </row>
    <row r="205" spans="16:26" ht="12.75" hidden="1">
      <c r="P205">
        <v>200</v>
      </c>
      <c r="Q205" t="s">
        <v>787</v>
      </c>
      <c r="R205">
        <v>2</v>
      </c>
      <c r="Z205" s="1" t="s">
        <v>788</v>
      </c>
    </row>
    <row r="206" spans="16:26" ht="12.75" hidden="1">
      <c r="P206">
        <v>201</v>
      </c>
      <c r="Q206" t="s">
        <v>789</v>
      </c>
      <c r="R206">
        <v>6</v>
      </c>
      <c r="Z206" s="1" t="s">
        <v>790</v>
      </c>
    </row>
    <row r="207" spans="16:26" ht="12.75" hidden="1">
      <c r="P207">
        <v>202</v>
      </c>
      <c r="Q207" t="s">
        <v>791</v>
      </c>
      <c r="R207">
        <v>6</v>
      </c>
      <c r="Z207" s="1" t="s">
        <v>792</v>
      </c>
    </row>
    <row r="208" spans="16:26" ht="12.75" hidden="1">
      <c r="P208">
        <v>203</v>
      </c>
      <c r="Q208" t="s">
        <v>793</v>
      </c>
      <c r="R208">
        <v>6</v>
      </c>
      <c r="Z208" s="1" t="s">
        <v>794</v>
      </c>
    </row>
    <row r="209" spans="16:26" ht="12.75" hidden="1">
      <c r="P209">
        <v>204</v>
      </c>
      <c r="Q209" t="s">
        <v>795</v>
      </c>
      <c r="R209">
        <v>19</v>
      </c>
      <c r="Z209" s="1" t="s">
        <v>796</v>
      </c>
    </row>
    <row r="210" spans="16:26" ht="12.75" hidden="1">
      <c r="P210">
        <v>205</v>
      </c>
      <c r="Q210" t="s">
        <v>797</v>
      </c>
      <c r="R210">
        <v>14</v>
      </c>
      <c r="Z210" s="1" t="s">
        <v>798</v>
      </c>
    </row>
    <row r="211" spans="16:26" ht="12.75" hidden="1">
      <c r="P211">
        <v>206</v>
      </c>
      <c r="Q211" t="s">
        <v>799</v>
      </c>
      <c r="R211">
        <v>20</v>
      </c>
      <c r="Z211" s="1" t="s">
        <v>800</v>
      </c>
    </row>
    <row r="212" spans="16:26" ht="12.75" hidden="1">
      <c r="P212">
        <v>208</v>
      </c>
      <c r="Q212" t="s">
        <v>801</v>
      </c>
      <c r="R212">
        <v>2</v>
      </c>
      <c r="Z212" s="1" t="s">
        <v>802</v>
      </c>
    </row>
    <row r="213" spans="16:26" ht="12.75" hidden="1">
      <c r="P213">
        <v>209</v>
      </c>
      <c r="Q213" t="s">
        <v>803</v>
      </c>
      <c r="R213">
        <v>8</v>
      </c>
      <c r="Z213" s="1" t="s">
        <v>804</v>
      </c>
    </row>
    <row r="214" spans="16:26" ht="12.75" hidden="1">
      <c r="P214">
        <v>211</v>
      </c>
      <c r="Q214" t="s">
        <v>805</v>
      </c>
      <c r="R214">
        <v>2</v>
      </c>
      <c r="Z214" s="1" t="s">
        <v>806</v>
      </c>
    </row>
    <row r="215" spans="16:26" ht="12.75" hidden="1">
      <c r="P215">
        <v>212</v>
      </c>
      <c r="Q215" t="s">
        <v>807</v>
      </c>
      <c r="R215">
        <v>2</v>
      </c>
      <c r="Z215" s="1" t="s">
        <v>808</v>
      </c>
    </row>
    <row r="216" spans="16:26" ht="12.75" hidden="1">
      <c r="P216">
        <v>213</v>
      </c>
      <c r="Q216" t="s">
        <v>809</v>
      </c>
      <c r="R216">
        <v>1</v>
      </c>
      <c r="Z216" s="1" t="s">
        <v>810</v>
      </c>
    </row>
    <row r="217" spans="16:26" ht="12.75" hidden="1">
      <c r="P217">
        <v>214</v>
      </c>
      <c r="Q217" t="s">
        <v>811</v>
      </c>
      <c r="R217">
        <v>6</v>
      </c>
      <c r="Z217" s="1" t="s">
        <v>812</v>
      </c>
    </row>
    <row r="218" spans="16:26" ht="12.75" hidden="1">
      <c r="P218">
        <v>215</v>
      </c>
      <c r="Q218" t="s">
        <v>813</v>
      </c>
      <c r="R218">
        <v>8</v>
      </c>
      <c r="Z218" s="1" t="s">
        <v>814</v>
      </c>
    </row>
    <row r="219" spans="16:26" ht="12.75" hidden="1">
      <c r="P219">
        <v>216</v>
      </c>
      <c r="Q219" t="s">
        <v>815</v>
      </c>
      <c r="R219">
        <v>4</v>
      </c>
      <c r="Z219" s="1" t="s">
        <v>816</v>
      </c>
    </row>
    <row r="220" spans="16:26" ht="12.75" hidden="1">
      <c r="P220">
        <v>217</v>
      </c>
      <c r="Q220" t="s">
        <v>817</v>
      </c>
      <c r="R220">
        <v>18</v>
      </c>
      <c r="Z220" s="1" t="s">
        <v>818</v>
      </c>
    </row>
    <row r="221" spans="16:26" ht="12.75" hidden="1">
      <c r="P221">
        <v>219</v>
      </c>
      <c r="Q221" t="s">
        <v>819</v>
      </c>
      <c r="R221">
        <v>19</v>
      </c>
      <c r="Z221" s="1" t="s">
        <v>820</v>
      </c>
    </row>
    <row r="222" spans="16:26" ht="12.75" hidden="1">
      <c r="P222">
        <v>220</v>
      </c>
      <c r="Q222" t="s">
        <v>821</v>
      </c>
      <c r="R222">
        <v>3</v>
      </c>
      <c r="Z222" s="1" t="s">
        <v>822</v>
      </c>
    </row>
    <row r="223" spans="16:26" ht="12.75" hidden="1">
      <c r="P223">
        <v>221</v>
      </c>
      <c r="Q223" t="s">
        <v>823</v>
      </c>
      <c r="R223">
        <v>11</v>
      </c>
      <c r="Z223" s="1" t="s">
        <v>824</v>
      </c>
    </row>
    <row r="224" spans="16:26" ht="12.75" hidden="1">
      <c r="P224">
        <v>222</v>
      </c>
      <c r="Q224" t="s">
        <v>825</v>
      </c>
      <c r="R224">
        <v>18</v>
      </c>
      <c r="Z224" s="1" t="s">
        <v>826</v>
      </c>
    </row>
    <row r="225" spans="16:26" ht="12.75" hidden="1">
      <c r="P225">
        <v>223</v>
      </c>
      <c r="Q225" t="s">
        <v>827</v>
      </c>
      <c r="R225">
        <v>18</v>
      </c>
      <c r="Z225" s="1" t="s">
        <v>828</v>
      </c>
    </row>
    <row r="226" spans="16:26" ht="12.75" hidden="1">
      <c r="P226">
        <v>225</v>
      </c>
      <c r="Q226" t="s">
        <v>829</v>
      </c>
      <c r="R226">
        <v>4</v>
      </c>
      <c r="Z226" s="1" t="s">
        <v>830</v>
      </c>
    </row>
    <row r="227" spans="16:26" ht="12.75" hidden="1">
      <c r="P227">
        <v>226</v>
      </c>
      <c r="Q227" t="s">
        <v>831</v>
      </c>
      <c r="R227">
        <v>19</v>
      </c>
      <c r="Z227" s="1" t="s">
        <v>832</v>
      </c>
    </row>
    <row r="228" spans="16:26" ht="12.75" hidden="1">
      <c r="P228">
        <v>227</v>
      </c>
      <c r="Q228" t="s">
        <v>833</v>
      </c>
      <c r="R228">
        <v>6</v>
      </c>
      <c r="Z228" s="1" t="s">
        <v>834</v>
      </c>
    </row>
    <row r="229" spans="16:26" ht="12.75" hidden="1">
      <c r="P229">
        <v>228</v>
      </c>
      <c r="Q229" t="s">
        <v>835</v>
      </c>
      <c r="R229">
        <v>3</v>
      </c>
      <c r="Z229" s="1" t="s">
        <v>836</v>
      </c>
    </row>
    <row r="230" spans="16:26" ht="12.75" hidden="1">
      <c r="P230">
        <v>229</v>
      </c>
      <c r="Q230" t="s">
        <v>837</v>
      </c>
      <c r="R230">
        <v>5</v>
      </c>
      <c r="Z230" s="1" t="s">
        <v>838</v>
      </c>
    </row>
    <row r="231" spans="16:26" ht="12.75" hidden="1">
      <c r="P231">
        <v>230</v>
      </c>
      <c r="Q231" t="s">
        <v>839</v>
      </c>
      <c r="R231">
        <v>14</v>
      </c>
      <c r="Z231" s="1" t="s">
        <v>840</v>
      </c>
    </row>
    <row r="232" spans="16:26" ht="12.75" hidden="1">
      <c r="P232">
        <v>231</v>
      </c>
      <c r="Q232" t="s">
        <v>841</v>
      </c>
      <c r="R232">
        <v>11</v>
      </c>
      <c r="Z232" s="1" t="s">
        <v>842</v>
      </c>
    </row>
    <row r="233" spans="16:26" ht="12.75" hidden="1">
      <c r="P233">
        <v>232</v>
      </c>
      <c r="Q233" t="s">
        <v>843</v>
      </c>
      <c r="R233">
        <v>3</v>
      </c>
      <c r="Z233" s="1" t="s">
        <v>844</v>
      </c>
    </row>
    <row r="234" spans="16:26" ht="12.75" hidden="1">
      <c r="P234">
        <v>234</v>
      </c>
      <c r="Q234" t="s">
        <v>845</v>
      </c>
      <c r="R234">
        <v>13</v>
      </c>
      <c r="Z234" s="1" t="s">
        <v>846</v>
      </c>
    </row>
    <row r="235" spans="16:26" ht="12.75" hidden="1">
      <c r="P235">
        <v>235</v>
      </c>
      <c r="Q235" t="s">
        <v>847</v>
      </c>
      <c r="R235">
        <v>18</v>
      </c>
      <c r="Z235" s="1" t="s">
        <v>848</v>
      </c>
    </row>
    <row r="236" spans="16:26" ht="12.75" hidden="1">
      <c r="P236">
        <v>236</v>
      </c>
      <c r="Q236" t="s">
        <v>849</v>
      </c>
      <c r="R236">
        <v>2</v>
      </c>
      <c r="Z236" s="1" t="s">
        <v>850</v>
      </c>
    </row>
    <row r="237" spans="16:26" ht="12.75" hidden="1">
      <c r="P237">
        <v>237</v>
      </c>
      <c r="Q237" t="s">
        <v>851</v>
      </c>
      <c r="R237">
        <v>8</v>
      </c>
      <c r="Z237" s="1" t="s">
        <v>852</v>
      </c>
    </row>
    <row r="238" spans="16:26" ht="12.75" hidden="1">
      <c r="P238">
        <v>239</v>
      </c>
      <c r="Q238" t="s">
        <v>853</v>
      </c>
      <c r="R238">
        <v>16</v>
      </c>
      <c r="Z238" s="1" t="s">
        <v>854</v>
      </c>
    </row>
    <row r="239" spans="16:26" ht="12.75" hidden="1">
      <c r="P239">
        <v>240</v>
      </c>
      <c r="Q239" t="s">
        <v>855</v>
      </c>
      <c r="R239">
        <v>9</v>
      </c>
      <c r="Z239" s="1" t="s">
        <v>856</v>
      </c>
    </row>
    <row r="240" spans="16:26" ht="12.75" hidden="1">
      <c r="P240">
        <v>242</v>
      </c>
      <c r="Q240" t="s">
        <v>857</v>
      </c>
      <c r="R240">
        <v>8</v>
      </c>
      <c r="Z240" s="1" t="s">
        <v>858</v>
      </c>
    </row>
    <row r="241" spans="16:26" ht="12.75" hidden="1">
      <c r="P241">
        <v>243</v>
      </c>
      <c r="Q241" t="s">
        <v>859</v>
      </c>
      <c r="R241">
        <v>17</v>
      </c>
      <c r="Z241" s="1" t="s">
        <v>860</v>
      </c>
    </row>
    <row r="242" spans="16:26" ht="12.75" hidden="1">
      <c r="P242">
        <v>244</v>
      </c>
      <c r="Q242" t="s">
        <v>861</v>
      </c>
      <c r="R242">
        <v>5</v>
      </c>
      <c r="Z242" s="1" t="s">
        <v>862</v>
      </c>
    </row>
    <row r="243" spans="16:26" ht="12.75" hidden="1">
      <c r="P243">
        <v>245</v>
      </c>
      <c r="Q243" t="s">
        <v>863</v>
      </c>
      <c r="R243">
        <v>10</v>
      </c>
      <c r="Z243" s="1" t="s">
        <v>864</v>
      </c>
    </row>
    <row r="244" spans="16:26" ht="12.75" hidden="1">
      <c r="P244">
        <v>246</v>
      </c>
      <c r="Q244" t="s">
        <v>865</v>
      </c>
      <c r="R244">
        <v>18</v>
      </c>
      <c r="Z244" s="1" t="s">
        <v>866</v>
      </c>
    </row>
    <row r="245" spans="16:26" ht="12.75" hidden="1">
      <c r="P245">
        <v>247</v>
      </c>
      <c r="Q245" t="s">
        <v>867</v>
      </c>
      <c r="R245">
        <v>5</v>
      </c>
      <c r="Z245" s="1" t="s">
        <v>868</v>
      </c>
    </row>
    <row r="246" spans="16:26" ht="12.75" hidden="1">
      <c r="P246">
        <v>248</v>
      </c>
      <c r="Q246" t="s">
        <v>869</v>
      </c>
      <c r="R246">
        <v>2</v>
      </c>
      <c r="Z246" s="1" t="s">
        <v>870</v>
      </c>
    </row>
    <row r="247" spans="16:26" ht="12.75" hidden="1">
      <c r="P247">
        <v>249</v>
      </c>
      <c r="Q247" t="s">
        <v>871</v>
      </c>
      <c r="R247">
        <v>17</v>
      </c>
      <c r="Z247" s="1" t="s">
        <v>872</v>
      </c>
    </row>
    <row r="248" spans="16:26" ht="12.75" hidden="1">
      <c r="P248">
        <v>250</v>
      </c>
      <c r="Q248" t="s">
        <v>873</v>
      </c>
      <c r="R248">
        <v>20</v>
      </c>
      <c r="Z248" s="1" t="s">
        <v>874</v>
      </c>
    </row>
    <row r="249" spans="16:26" ht="12.75" hidden="1">
      <c r="P249">
        <v>251</v>
      </c>
      <c r="Q249" t="s">
        <v>875</v>
      </c>
      <c r="R249">
        <v>5</v>
      </c>
      <c r="Z249" s="1" t="s">
        <v>876</v>
      </c>
    </row>
    <row r="250" spans="16:26" ht="12.75" hidden="1">
      <c r="P250">
        <v>252</v>
      </c>
      <c r="Q250" t="s">
        <v>877</v>
      </c>
      <c r="R250">
        <v>8</v>
      </c>
      <c r="Z250" s="1" t="s">
        <v>878</v>
      </c>
    </row>
    <row r="251" spans="16:26" ht="12.75" hidden="1">
      <c r="P251">
        <v>253</v>
      </c>
      <c r="Q251" t="s">
        <v>879</v>
      </c>
      <c r="R251">
        <v>8</v>
      </c>
      <c r="Z251" s="1" t="s">
        <v>880</v>
      </c>
    </row>
    <row r="252" spans="16:26" ht="12.75" hidden="1">
      <c r="P252">
        <v>254</v>
      </c>
      <c r="Q252" t="s">
        <v>881</v>
      </c>
      <c r="R252">
        <v>18</v>
      </c>
      <c r="Z252" s="1" t="s">
        <v>882</v>
      </c>
    </row>
    <row r="253" spans="16:26" ht="12.75" hidden="1">
      <c r="P253">
        <v>256</v>
      </c>
      <c r="Q253" t="s">
        <v>883</v>
      </c>
      <c r="R253">
        <v>2</v>
      </c>
      <c r="Z253" s="1" t="s">
        <v>884</v>
      </c>
    </row>
    <row r="254" spans="16:26" ht="12.75" hidden="1">
      <c r="P254">
        <v>257</v>
      </c>
      <c r="Q254" t="s">
        <v>885</v>
      </c>
      <c r="R254">
        <v>14</v>
      </c>
      <c r="Z254" s="1" t="s">
        <v>886</v>
      </c>
    </row>
    <row r="255" spans="16:26" ht="12.75" hidden="1">
      <c r="P255">
        <v>258</v>
      </c>
      <c r="Q255" t="s">
        <v>887</v>
      </c>
      <c r="R255">
        <v>17</v>
      </c>
      <c r="Z255" s="1" t="s">
        <v>888</v>
      </c>
    </row>
    <row r="256" spans="16:26" ht="12.75" hidden="1">
      <c r="P256">
        <v>259</v>
      </c>
      <c r="Q256" t="s">
        <v>889</v>
      </c>
      <c r="R256">
        <v>3</v>
      </c>
      <c r="Z256" s="1" t="s">
        <v>890</v>
      </c>
    </row>
    <row r="257" spans="16:26" ht="12.75" hidden="1">
      <c r="P257">
        <v>260</v>
      </c>
      <c r="Q257" t="s">
        <v>891</v>
      </c>
      <c r="R257">
        <v>5</v>
      </c>
      <c r="Z257" s="1" t="s">
        <v>892</v>
      </c>
    </row>
    <row r="258" spans="16:26" ht="12.75" hidden="1">
      <c r="P258">
        <v>261</v>
      </c>
      <c r="Q258" t="s">
        <v>893</v>
      </c>
      <c r="R258">
        <v>8</v>
      </c>
      <c r="Z258" s="1" t="s">
        <v>894</v>
      </c>
    </row>
    <row r="259" spans="16:26" ht="12.75" hidden="1">
      <c r="P259">
        <v>263</v>
      </c>
      <c r="Q259" t="s">
        <v>895</v>
      </c>
      <c r="R259">
        <v>18</v>
      </c>
      <c r="Z259" s="1" t="s">
        <v>896</v>
      </c>
    </row>
    <row r="260" spans="16:26" ht="12.75" hidden="1">
      <c r="P260">
        <v>264</v>
      </c>
      <c r="Q260" t="s">
        <v>897</v>
      </c>
      <c r="R260">
        <v>19</v>
      </c>
      <c r="Z260" s="1" t="s">
        <v>898</v>
      </c>
    </row>
    <row r="261" spans="16:26" ht="12.75" hidden="1">
      <c r="P261">
        <v>265</v>
      </c>
      <c r="Q261" t="s">
        <v>899</v>
      </c>
      <c r="R261">
        <v>2</v>
      </c>
      <c r="Z261" s="1" t="s">
        <v>900</v>
      </c>
    </row>
    <row r="262" spans="16:26" ht="12.75" hidden="1">
      <c r="P262">
        <v>266</v>
      </c>
      <c r="Q262" t="s">
        <v>901</v>
      </c>
      <c r="R262">
        <v>10</v>
      </c>
      <c r="Z262" s="1" t="s">
        <v>902</v>
      </c>
    </row>
    <row r="263" spans="16:26" ht="12.75" hidden="1">
      <c r="P263">
        <v>267</v>
      </c>
      <c r="Q263" t="s">
        <v>903</v>
      </c>
      <c r="R263">
        <v>17</v>
      </c>
      <c r="Z263" s="1" t="s">
        <v>904</v>
      </c>
    </row>
    <row r="264" spans="16:26" ht="12.75" hidden="1">
      <c r="P264">
        <v>268</v>
      </c>
      <c r="Q264" t="s">
        <v>905</v>
      </c>
      <c r="R264">
        <v>19</v>
      </c>
      <c r="Z264" s="1" t="s">
        <v>906</v>
      </c>
    </row>
    <row r="265" spans="16:26" ht="12.75" hidden="1">
      <c r="P265">
        <v>270</v>
      </c>
      <c r="Q265" t="s">
        <v>907</v>
      </c>
      <c r="R265">
        <v>6</v>
      </c>
      <c r="Z265" s="1" t="s">
        <v>908</v>
      </c>
    </row>
    <row r="266" spans="16:26" ht="12.75" hidden="1">
      <c r="P266">
        <v>271</v>
      </c>
      <c r="Q266" t="s">
        <v>909</v>
      </c>
      <c r="R266">
        <v>14</v>
      </c>
      <c r="Z266" s="1" t="s">
        <v>910</v>
      </c>
    </row>
    <row r="267" spans="16:26" ht="12.75" hidden="1">
      <c r="P267">
        <v>273</v>
      </c>
      <c r="Q267" t="s">
        <v>911</v>
      </c>
      <c r="R267">
        <v>8</v>
      </c>
      <c r="Z267" s="1" t="s">
        <v>912</v>
      </c>
    </row>
    <row r="268" spans="16:26" ht="12.75" hidden="1">
      <c r="P268">
        <v>274</v>
      </c>
      <c r="Q268" t="s">
        <v>913</v>
      </c>
      <c r="R268">
        <v>18</v>
      </c>
      <c r="Z268" s="1" t="s">
        <v>914</v>
      </c>
    </row>
    <row r="269" spans="16:26" ht="12.75" hidden="1">
      <c r="P269">
        <v>275</v>
      </c>
      <c r="Q269" t="s">
        <v>915</v>
      </c>
      <c r="R269">
        <v>8</v>
      </c>
      <c r="Z269" s="1" t="s">
        <v>916</v>
      </c>
    </row>
    <row r="270" spans="16:26" ht="12.75" hidden="1">
      <c r="P270">
        <v>276</v>
      </c>
      <c r="Q270" t="s">
        <v>917</v>
      </c>
      <c r="R270">
        <v>20</v>
      </c>
      <c r="Z270" s="1" t="s">
        <v>918</v>
      </c>
    </row>
    <row r="271" spans="16:26" ht="12.75" hidden="1">
      <c r="P271">
        <v>278</v>
      </c>
      <c r="Q271" t="s">
        <v>919</v>
      </c>
      <c r="R271">
        <v>14</v>
      </c>
      <c r="Z271" s="1" t="s">
        <v>920</v>
      </c>
    </row>
    <row r="272" spans="16:26" ht="12.75" hidden="1">
      <c r="P272">
        <v>279</v>
      </c>
      <c r="Q272" t="s">
        <v>921</v>
      </c>
      <c r="R272">
        <v>20</v>
      </c>
      <c r="Z272" s="1" t="s">
        <v>922</v>
      </c>
    </row>
    <row r="273" spans="16:26" ht="12.75" hidden="1">
      <c r="P273">
        <v>280</v>
      </c>
      <c r="Q273" t="s">
        <v>923</v>
      </c>
      <c r="R273">
        <v>17</v>
      </c>
      <c r="Z273" s="1" t="s">
        <v>924</v>
      </c>
    </row>
    <row r="274" spans="16:26" ht="12.75" hidden="1">
      <c r="P274">
        <v>281</v>
      </c>
      <c r="Q274" t="s">
        <v>925</v>
      </c>
      <c r="R274">
        <v>4</v>
      </c>
      <c r="Z274" s="1" t="s">
        <v>926</v>
      </c>
    </row>
    <row r="275" spans="16:26" ht="12.75" hidden="1">
      <c r="P275">
        <v>282</v>
      </c>
      <c r="Q275" t="s">
        <v>927</v>
      </c>
      <c r="R275">
        <v>13</v>
      </c>
      <c r="Z275" s="1" t="s">
        <v>928</v>
      </c>
    </row>
    <row r="276" spans="16:26" ht="12.75" hidden="1">
      <c r="P276">
        <v>283</v>
      </c>
      <c r="Q276" t="s">
        <v>929</v>
      </c>
      <c r="R276">
        <v>10</v>
      </c>
      <c r="Z276" s="1" t="s">
        <v>930</v>
      </c>
    </row>
    <row r="277" spans="16:26" ht="12.75" hidden="1">
      <c r="P277">
        <v>284</v>
      </c>
      <c r="Q277" t="s">
        <v>931</v>
      </c>
      <c r="R277">
        <v>12</v>
      </c>
      <c r="Z277" s="1" t="s">
        <v>932</v>
      </c>
    </row>
    <row r="278" spans="16:26" ht="12.75" hidden="1">
      <c r="P278">
        <v>285</v>
      </c>
      <c r="Q278" t="s">
        <v>933</v>
      </c>
      <c r="R278">
        <v>12</v>
      </c>
      <c r="Z278" s="1" t="s">
        <v>934</v>
      </c>
    </row>
    <row r="279" spans="16:26" ht="12.75" hidden="1">
      <c r="P279">
        <v>287</v>
      </c>
      <c r="Q279" t="s">
        <v>935</v>
      </c>
      <c r="R279">
        <v>7</v>
      </c>
      <c r="Z279" s="1" t="s">
        <v>936</v>
      </c>
    </row>
    <row r="280" spans="16:26" ht="12.75" hidden="1">
      <c r="P280">
        <v>288</v>
      </c>
      <c r="Q280" t="s">
        <v>937</v>
      </c>
      <c r="R280">
        <v>9</v>
      </c>
      <c r="Z280" s="1" t="s">
        <v>938</v>
      </c>
    </row>
    <row r="281" spans="16:26" ht="12.75" hidden="1">
      <c r="P281">
        <v>289</v>
      </c>
      <c r="Q281" t="s">
        <v>939</v>
      </c>
      <c r="R281">
        <v>5</v>
      </c>
      <c r="Z281" s="1" t="s">
        <v>940</v>
      </c>
    </row>
    <row r="282" spans="16:26" ht="12.75" hidden="1">
      <c r="P282">
        <v>290</v>
      </c>
      <c r="Q282" t="s">
        <v>941</v>
      </c>
      <c r="R282">
        <v>8</v>
      </c>
      <c r="Z282" s="1" t="s">
        <v>942</v>
      </c>
    </row>
    <row r="283" spans="16:26" ht="12.75" hidden="1">
      <c r="P283">
        <v>291</v>
      </c>
      <c r="Q283" t="s">
        <v>943</v>
      </c>
      <c r="R283">
        <v>18</v>
      </c>
      <c r="Z283" s="1" t="s">
        <v>944</v>
      </c>
    </row>
    <row r="284" spans="16:26" ht="12.75" hidden="1">
      <c r="P284">
        <v>292</v>
      </c>
      <c r="Q284" t="s">
        <v>945</v>
      </c>
      <c r="R284">
        <v>6</v>
      </c>
      <c r="Z284" s="1" t="s">
        <v>946</v>
      </c>
    </row>
    <row r="285" spans="16:26" ht="12.75" hidden="1">
      <c r="P285">
        <v>293</v>
      </c>
      <c r="Q285" t="s">
        <v>947</v>
      </c>
      <c r="R285">
        <v>3</v>
      </c>
      <c r="Z285" s="1" t="s">
        <v>948</v>
      </c>
    </row>
    <row r="286" spans="16:26" ht="12.75" hidden="1">
      <c r="P286">
        <v>294</v>
      </c>
      <c r="Q286" t="s">
        <v>949</v>
      </c>
      <c r="R286">
        <v>16</v>
      </c>
      <c r="Z286" s="1" t="s">
        <v>950</v>
      </c>
    </row>
    <row r="287" spans="16:26" ht="12.75" hidden="1">
      <c r="P287">
        <v>295</v>
      </c>
      <c r="Q287" t="s">
        <v>951</v>
      </c>
      <c r="R287">
        <v>16</v>
      </c>
      <c r="Z287" s="1" t="s">
        <v>952</v>
      </c>
    </row>
    <row r="288" spans="16:26" ht="12.75" hidden="1">
      <c r="P288">
        <v>296</v>
      </c>
      <c r="Q288" t="s">
        <v>953</v>
      </c>
      <c r="R288">
        <v>13</v>
      </c>
      <c r="Z288" s="1" t="s">
        <v>954</v>
      </c>
    </row>
    <row r="289" spans="16:26" ht="12.75" hidden="1">
      <c r="P289">
        <v>297</v>
      </c>
      <c r="Q289" t="s">
        <v>955</v>
      </c>
      <c r="R289">
        <v>4</v>
      </c>
      <c r="Z289" s="1" t="s">
        <v>956</v>
      </c>
    </row>
    <row r="290" spans="16:26" ht="12.75" hidden="1">
      <c r="P290">
        <v>298</v>
      </c>
      <c r="Q290" t="s">
        <v>957</v>
      </c>
      <c r="R290">
        <v>15</v>
      </c>
      <c r="Z290" s="1" t="s">
        <v>958</v>
      </c>
    </row>
    <row r="291" spans="16:26" ht="12.75" hidden="1">
      <c r="P291">
        <v>299</v>
      </c>
      <c r="Q291" t="s">
        <v>959</v>
      </c>
      <c r="R291">
        <v>12</v>
      </c>
      <c r="Z291" s="1" t="s">
        <v>960</v>
      </c>
    </row>
    <row r="292" spans="16:26" ht="12.75" hidden="1">
      <c r="P292">
        <v>300</v>
      </c>
      <c r="Q292" t="s">
        <v>961</v>
      </c>
      <c r="R292">
        <v>17</v>
      </c>
      <c r="Z292" s="1" t="s">
        <v>962</v>
      </c>
    </row>
    <row r="293" spans="16:26" ht="12.75" hidden="1">
      <c r="P293">
        <v>301</v>
      </c>
      <c r="Q293" t="s">
        <v>963</v>
      </c>
      <c r="R293">
        <v>8</v>
      </c>
      <c r="Z293" s="1" t="s">
        <v>964</v>
      </c>
    </row>
    <row r="294" spans="16:26" ht="12.75" hidden="1">
      <c r="P294">
        <v>302</v>
      </c>
      <c r="Q294" t="s">
        <v>965</v>
      </c>
      <c r="R294">
        <v>8</v>
      </c>
      <c r="Z294" s="1" t="s">
        <v>966</v>
      </c>
    </row>
    <row r="295" spans="16:26" ht="12.75" hidden="1">
      <c r="P295">
        <v>303</v>
      </c>
      <c r="Q295" t="s">
        <v>967</v>
      </c>
      <c r="R295">
        <v>12</v>
      </c>
      <c r="Z295" s="1" t="s">
        <v>968</v>
      </c>
    </row>
    <row r="296" spans="16:26" ht="12.75" hidden="1">
      <c r="P296">
        <v>304</v>
      </c>
      <c r="Q296" t="s">
        <v>969</v>
      </c>
      <c r="R296">
        <v>18</v>
      </c>
      <c r="Z296" s="1" t="s">
        <v>970</v>
      </c>
    </row>
    <row r="297" spans="16:26" ht="12.75" hidden="1">
      <c r="P297">
        <v>306</v>
      </c>
      <c r="Q297" t="s">
        <v>971</v>
      </c>
      <c r="R297">
        <v>19</v>
      </c>
      <c r="Z297" s="1" t="s">
        <v>972</v>
      </c>
    </row>
    <row r="298" spans="16:26" ht="12.75" hidden="1">
      <c r="P298">
        <v>307</v>
      </c>
      <c r="Q298" t="s">
        <v>973</v>
      </c>
      <c r="R298">
        <v>10</v>
      </c>
      <c r="Z298" s="1" t="s">
        <v>974</v>
      </c>
    </row>
    <row r="299" spans="16:26" ht="12.75" hidden="1">
      <c r="P299">
        <v>308</v>
      </c>
      <c r="Q299" t="s">
        <v>975</v>
      </c>
      <c r="R299">
        <v>19</v>
      </c>
      <c r="Z299" s="1" t="s">
        <v>976</v>
      </c>
    </row>
    <row r="300" spans="16:26" ht="12.75" hidden="1">
      <c r="P300">
        <v>309</v>
      </c>
      <c r="Q300" t="s">
        <v>977</v>
      </c>
      <c r="R300">
        <v>12</v>
      </c>
      <c r="Z300" s="1" t="s">
        <v>978</v>
      </c>
    </row>
    <row r="301" spans="16:26" ht="12.75" hidden="1">
      <c r="P301">
        <v>310</v>
      </c>
      <c r="Q301" t="s">
        <v>979</v>
      </c>
      <c r="R301">
        <v>15</v>
      </c>
      <c r="Z301" s="1" t="s">
        <v>980</v>
      </c>
    </row>
    <row r="302" spans="16:26" ht="12.75" hidden="1">
      <c r="P302">
        <v>311</v>
      </c>
      <c r="Q302" t="s">
        <v>981</v>
      </c>
      <c r="R302">
        <v>2</v>
      </c>
      <c r="Z302" s="1" t="s">
        <v>982</v>
      </c>
    </row>
    <row r="303" spans="16:26" ht="12.75" hidden="1">
      <c r="P303">
        <v>312</v>
      </c>
      <c r="Q303" t="s">
        <v>983</v>
      </c>
      <c r="R303">
        <v>14</v>
      </c>
      <c r="Z303" s="1" t="s">
        <v>984</v>
      </c>
    </row>
    <row r="304" spans="16:26" ht="12.75" hidden="1">
      <c r="P304">
        <v>313</v>
      </c>
      <c r="Q304" t="s">
        <v>985</v>
      </c>
      <c r="R304">
        <v>9</v>
      </c>
      <c r="Z304" s="1" t="s">
        <v>986</v>
      </c>
    </row>
    <row r="305" spans="16:26" ht="12.75" hidden="1">
      <c r="P305">
        <v>314</v>
      </c>
      <c r="Q305" t="s">
        <v>987</v>
      </c>
      <c r="R305">
        <v>17</v>
      </c>
      <c r="Z305" s="1" t="s">
        <v>988</v>
      </c>
    </row>
    <row r="306" spans="16:26" ht="12.75" hidden="1">
      <c r="P306">
        <v>315</v>
      </c>
      <c r="Q306" t="s">
        <v>989</v>
      </c>
      <c r="R306">
        <v>4</v>
      </c>
      <c r="Z306" s="1" t="s">
        <v>990</v>
      </c>
    </row>
    <row r="307" spans="16:26" ht="12.75" hidden="1">
      <c r="P307">
        <v>316</v>
      </c>
      <c r="Q307" t="s">
        <v>991</v>
      </c>
      <c r="R307">
        <v>13</v>
      </c>
      <c r="Z307" s="1" t="s">
        <v>992</v>
      </c>
    </row>
    <row r="308" spans="16:26" ht="12.75" hidden="1">
      <c r="P308">
        <v>317</v>
      </c>
      <c r="Q308" t="s">
        <v>993</v>
      </c>
      <c r="R308">
        <v>13</v>
      </c>
      <c r="Z308" s="1" t="s">
        <v>994</v>
      </c>
    </row>
    <row r="309" spans="16:26" ht="12.75" hidden="1">
      <c r="P309">
        <v>318</v>
      </c>
      <c r="Q309" t="s">
        <v>995</v>
      </c>
      <c r="R309">
        <v>11</v>
      </c>
      <c r="Z309" s="1" t="s">
        <v>996</v>
      </c>
    </row>
    <row r="310" spans="16:26" ht="12.75" hidden="1">
      <c r="P310">
        <v>320</v>
      </c>
      <c r="Q310" t="s">
        <v>997</v>
      </c>
      <c r="R310">
        <v>13</v>
      </c>
      <c r="Z310" s="1" t="s">
        <v>998</v>
      </c>
    </row>
    <row r="311" spans="16:26" ht="12.75" hidden="1">
      <c r="P311">
        <v>321</v>
      </c>
      <c r="Q311" t="s">
        <v>999</v>
      </c>
      <c r="R311">
        <v>18</v>
      </c>
      <c r="Z311" s="1" t="s">
        <v>1000</v>
      </c>
    </row>
    <row r="312" spans="16:26" ht="12.75" hidden="1">
      <c r="P312">
        <v>323</v>
      </c>
      <c r="Q312" t="s">
        <v>1001</v>
      </c>
      <c r="R312">
        <v>9</v>
      </c>
      <c r="Z312" s="1" t="s">
        <v>1002</v>
      </c>
    </row>
    <row r="313" spans="16:26" ht="12.75" hidden="1">
      <c r="P313">
        <v>324</v>
      </c>
      <c r="Q313" t="s">
        <v>1003</v>
      </c>
      <c r="R313">
        <v>6</v>
      </c>
      <c r="Z313" s="1" t="s">
        <v>1004</v>
      </c>
    </row>
    <row r="314" spans="16:26" ht="12.75" hidden="1">
      <c r="P314">
        <v>325</v>
      </c>
      <c r="Q314" t="s">
        <v>1005</v>
      </c>
      <c r="R314">
        <v>14</v>
      </c>
      <c r="Z314" s="1" t="s">
        <v>1006</v>
      </c>
    </row>
    <row r="315" spans="16:26" ht="12.75" hidden="1">
      <c r="P315">
        <v>326</v>
      </c>
      <c r="Q315" t="s">
        <v>1007</v>
      </c>
      <c r="R315">
        <v>5</v>
      </c>
      <c r="Z315" s="1" t="s">
        <v>1008</v>
      </c>
    </row>
    <row r="316" spans="16:26" ht="12.75" hidden="1">
      <c r="P316">
        <v>327</v>
      </c>
      <c r="Q316" t="s">
        <v>1009</v>
      </c>
      <c r="R316">
        <v>14</v>
      </c>
      <c r="Z316" s="1" t="s">
        <v>1010</v>
      </c>
    </row>
    <row r="317" spans="16:26" ht="12.75" hidden="1">
      <c r="P317">
        <v>328</v>
      </c>
      <c r="Q317" t="s">
        <v>1011</v>
      </c>
      <c r="R317">
        <v>3</v>
      </c>
      <c r="Z317" s="1" t="s">
        <v>1012</v>
      </c>
    </row>
    <row r="318" spans="16:26" ht="12.75" hidden="1">
      <c r="P318">
        <v>329</v>
      </c>
      <c r="Q318" t="s">
        <v>1013</v>
      </c>
      <c r="R318">
        <v>2</v>
      </c>
      <c r="Z318" s="1" t="s">
        <v>1014</v>
      </c>
    </row>
    <row r="319" spans="16:26" ht="12.75" hidden="1">
      <c r="P319">
        <v>330</v>
      </c>
      <c r="Q319" t="s">
        <v>1015</v>
      </c>
      <c r="R319">
        <v>18</v>
      </c>
      <c r="Z319" s="1" t="s">
        <v>1016</v>
      </c>
    </row>
    <row r="320" spans="16:26" ht="12.75" hidden="1">
      <c r="P320">
        <v>331</v>
      </c>
      <c r="Q320" t="s">
        <v>1017</v>
      </c>
      <c r="R320">
        <v>1</v>
      </c>
      <c r="Z320" s="1" t="s">
        <v>1018</v>
      </c>
    </row>
    <row r="321" spans="16:26" ht="12.75" hidden="1">
      <c r="P321">
        <v>332</v>
      </c>
      <c r="Q321" t="s">
        <v>1019</v>
      </c>
      <c r="R321">
        <v>10</v>
      </c>
      <c r="Z321" s="1" t="s">
        <v>1020</v>
      </c>
    </row>
    <row r="322" spans="16:26" ht="12.75" hidden="1">
      <c r="P322">
        <v>333</v>
      </c>
      <c r="Q322" t="s">
        <v>1021</v>
      </c>
      <c r="R322">
        <v>4</v>
      </c>
      <c r="Z322" s="1" t="s">
        <v>1022</v>
      </c>
    </row>
    <row r="323" spans="16:26" ht="12.75" hidden="1">
      <c r="P323">
        <v>334</v>
      </c>
      <c r="Q323" t="s">
        <v>1023</v>
      </c>
      <c r="R323">
        <v>11</v>
      </c>
      <c r="Z323" s="1" t="s">
        <v>1024</v>
      </c>
    </row>
    <row r="324" spans="16:26" ht="12.75" hidden="1">
      <c r="P324">
        <v>335</v>
      </c>
      <c r="Q324" t="s">
        <v>1025</v>
      </c>
      <c r="R324">
        <v>19</v>
      </c>
      <c r="Z324" s="1" t="s">
        <v>1026</v>
      </c>
    </row>
    <row r="325" spans="16:26" ht="12.75" hidden="1">
      <c r="P325">
        <v>337</v>
      </c>
      <c r="Q325" t="s">
        <v>1027</v>
      </c>
      <c r="R325">
        <v>17</v>
      </c>
      <c r="Z325" s="1" t="s">
        <v>1028</v>
      </c>
    </row>
    <row r="326" spans="16:26" ht="12.75" hidden="1">
      <c r="P326">
        <v>338</v>
      </c>
      <c r="Q326" t="s">
        <v>1029</v>
      </c>
      <c r="R326">
        <v>12</v>
      </c>
      <c r="Z326" s="1" t="s">
        <v>1030</v>
      </c>
    </row>
    <row r="327" spans="16:26" ht="12.75" hidden="1">
      <c r="P327">
        <v>339</v>
      </c>
      <c r="Q327" t="s">
        <v>1031</v>
      </c>
      <c r="R327">
        <v>17</v>
      </c>
      <c r="Z327" s="1" t="s">
        <v>1032</v>
      </c>
    </row>
    <row r="328" spans="16:26" ht="12.75" hidden="1">
      <c r="P328">
        <v>340</v>
      </c>
      <c r="Q328" t="s">
        <v>1033</v>
      </c>
      <c r="R328">
        <v>14</v>
      </c>
      <c r="Z328" s="1" t="s">
        <v>1034</v>
      </c>
    </row>
    <row r="329" spans="16:26" ht="12.75" hidden="1">
      <c r="P329">
        <v>341</v>
      </c>
      <c r="Q329" t="s">
        <v>1035</v>
      </c>
      <c r="R329">
        <v>17</v>
      </c>
      <c r="Z329" s="1" t="s">
        <v>1036</v>
      </c>
    </row>
    <row r="330" spans="16:26" ht="12.75" hidden="1">
      <c r="P330">
        <v>342</v>
      </c>
      <c r="Q330" t="s">
        <v>1037</v>
      </c>
      <c r="R330">
        <v>20</v>
      </c>
      <c r="Z330" s="1" t="s">
        <v>1038</v>
      </c>
    </row>
    <row r="331" spans="16:26" ht="12.75" hidden="1">
      <c r="P331">
        <v>343</v>
      </c>
      <c r="Q331" t="s">
        <v>1039</v>
      </c>
      <c r="R331">
        <v>19</v>
      </c>
      <c r="Z331" s="1" t="s">
        <v>383</v>
      </c>
    </row>
    <row r="332" spans="16:26" ht="12.75" hidden="1">
      <c r="P332">
        <v>344</v>
      </c>
      <c r="Q332" t="s">
        <v>1040</v>
      </c>
      <c r="R332">
        <v>13</v>
      </c>
      <c r="Z332" s="1" t="s">
        <v>1041</v>
      </c>
    </row>
    <row r="333" spans="16:26" ht="12.75" hidden="1">
      <c r="P333">
        <v>345</v>
      </c>
      <c r="Q333" t="s">
        <v>1042</v>
      </c>
      <c r="R333">
        <v>13</v>
      </c>
      <c r="Z333" s="1" t="s">
        <v>1043</v>
      </c>
    </row>
    <row r="334" spans="16:26" ht="12.75" hidden="1">
      <c r="P334">
        <v>346</v>
      </c>
      <c r="Q334" t="s">
        <v>1044</v>
      </c>
      <c r="R334">
        <v>14</v>
      </c>
      <c r="Z334" s="1" t="s">
        <v>1045</v>
      </c>
    </row>
    <row r="335" spans="16:26" ht="12.75" hidden="1">
      <c r="P335">
        <v>347</v>
      </c>
      <c r="Q335" t="s">
        <v>1046</v>
      </c>
      <c r="R335">
        <v>3</v>
      </c>
      <c r="Z335" s="1" t="s">
        <v>1047</v>
      </c>
    </row>
    <row r="336" spans="16:26" ht="12.75" hidden="1">
      <c r="P336">
        <v>348</v>
      </c>
      <c r="Q336" t="s">
        <v>1048</v>
      </c>
      <c r="R336">
        <v>18</v>
      </c>
      <c r="Z336" s="1" t="s">
        <v>1049</v>
      </c>
    </row>
    <row r="337" spans="16:26" ht="12.75" hidden="1">
      <c r="P337">
        <v>349</v>
      </c>
      <c r="Q337" t="s">
        <v>1050</v>
      </c>
      <c r="R337">
        <v>13</v>
      </c>
      <c r="Z337" s="1" t="s">
        <v>1051</v>
      </c>
    </row>
    <row r="338" spans="16:26" ht="12.75" hidden="1">
      <c r="P338">
        <v>350</v>
      </c>
      <c r="Q338" t="s">
        <v>1052</v>
      </c>
      <c r="R338">
        <v>17</v>
      </c>
      <c r="Z338" s="1" t="s">
        <v>1053</v>
      </c>
    </row>
    <row r="339" spans="16:26" ht="12.75" hidden="1">
      <c r="P339">
        <v>351</v>
      </c>
      <c r="Q339" t="s">
        <v>1054</v>
      </c>
      <c r="R339">
        <v>11</v>
      </c>
      <c r="Z339" s="1" t="s">
        <v>1055</v>
      </c>
    </row>
    <row r="340" spans="16:26" ht="12.75" hidden="1">
      <c r="P340">
        <v>352</v>
      </c>
      <c r="Q340" t="s">
        <v>1056</v>
      </c>
      <c r="R340">
        <v>2</v>
      </c>
      <c r="Z340" s="1" t="s">
        <v>1057</v>
      </c>
    </row>
    <row r="341" spans="16:26" ht="12.75" hidden="1">
      <c r="P341">
        <v>354</v>
      </c>
      <c r="Q341" t="s">
        <v>1058</v>
      </c>
      <c r="R341">
        <v>13</v>
      </c>
      <c r="Z341" s="1" t="s">
        <v>1059</v>
      </c>
    </row>
    <row r="342" spans="16:26" ht="12.75" hidden="1">
      <c r="P342">
        <v>355</v>
      </c>
      <c r="Q342" t="s">
        <v>1060</v>
      </c>
      <c r="R342">
        <v>20</v>
      </c>
      <c r="Z342" s="1" t="s">
        <v>1061</v>
      </c>
    </row>
    <row r="343" spans="16:26" ht="12.75" hidden="1">
      <c r="P343">
        <v>356</v>
      </c>
      <c r="Q343" t="s">
        <v>1062</v>
      </c>
      <c r="R343">
        <v>1</v>
      </c>
      <c r="Z343" s="1" t="s">
        <v>1063</v>
      </c>
    </row>
    <row r="344" spans="16:26" ht="12.75" hidden="1">
      <c r="P344">
        <v>357</v>
      </c>
      <c r="Q344" t="s">
        <v>1064</v>
      </c>
      <c r="R344">
        <v>15</v>
      </c>
      <c r="Z344" s="1" t="s">
        <v>1065</v>
      </c>
    </row>
    <row r="345" spans="16:26" ht="12.75" hidden="1">
      <c r="P345">
        <v>358</v>
      </c>
      <c r="Q345" t="s">
        <v>1066</v>
      </c>
      <c r="R345">
        <v>17</v>
      </c>
      <c r="Z345" s="1" t="s">
        <v>1067</v>
      </c>
    </row>
    <row r="346" spans="16:26" ht="12.75" hidden="1">
      <c r="P346">
        <v>359</v>
      </c>
      <c r="Q346" t="s">
        <v>1068</v>
      </c>
      <c r="R346">
        <v>18</v>
      </c>
      <c r="Z346" s="1" t="s">
        <v>1069</v>
      </c>
    </row>
    <row r="347" spans="16:26" ht="12.75" hidden="1">
      <c r="P347">
        <v>360</v>
      </c>
      <c r="Q347" t="s">
        <v>1070</v>
      </c>
      <c r="R347">
        <v>8</v>
      </c>
      <c r="Z347" s="1" t="s">
        <v>1071</v>
      </c>
    </row>
    <row r="348" spans="16:26" ht="12.75" hidden="1">
      <c r="P348">
        <v>361</v>
      </c>
      <c r="Q348" t="s">
        <v>1072</v>
      </c>
      <c r="R348">
        <v>14</v>
      </c>
      <c r="Z348" s="1" t="s">
        <v>1073</v>
      </c>
    </row>
    <row r="349" spans="16:26" ht="12.75" hidden="1">
      <c r="P349">
        <v>362</v>
      </c>
      <c r="Q349" t="s">
        <v>1074</v>
      </c>
      <c r="R349">
        <v>1</v>
      </c>
      <c r="Z349" s="1" t="s">
        <v>1075</v>
      </c>
    </row>
    <row r="350" spans="16:26" ht="12.75" hidden="1">
      <c r="P350">
        <v>363</v>
      </c>
      <c r="Q350" t="s">
        <v>1076</v>
      </c>
      <c r="R350">
        <v>8</v>
      </c>
      <c r="Z350" s="1" t="s">
        <v>1077</v>
      </c>
    </row>
    <row r="351" spans="16:26" ht="12.75" hidden="1">
      <c r="P351">
        <v>364</v>
      </c>
      <c r="Q351" t="s">
        <v>1078</v>
      </c>
      <c r="R351">
        <v>2</v>
      </c>
      <c r="Z351" s="1" t="s">
        <v>1079</v>
      </c>
    </row>
    <row r="352" spans="16:26" ht="12.75" hidden="1">
      <c r="P352">
        <v>365</v>
      </c>
      <c r="Q352" t="s">
        <v>1080</v>
      </c>
      <c r="R352">
        <v>4</v>
      </c>
      <c r="Z352" s="1" t="s">
        <v>1081</v>
      </c>
    </row>
    <row r="353" spans="16:26" ht="12.75" hidden="1">
      <c r="P353">
        <v>366</v>
      </c>
      <c r="Q353" t="s">
        <v>1082</v>
      </c>
      <c r="R353">
        <v>6</v>
      </c>
      <c r="Z353" s="1" t="s">
        <v>1083</v>
      </c>
    </row>
    <row r="354" spans="16:26" ht="12.75" hidden="1">
      <c r="P354">
        <v>368</v>
      </c>
      <c r="Q354" t="s">
        <v>1084</v>
      </c>
      <c r="R354">
        <v>18</v>
      </c>
      <c r="Z354" s="1" t="s">
        <v>1085</v>
      </c>
    </row>
    <row r="355" spans="16:26" ht="12.75" hidden="1">
      <c r="P355">
        <v>369</v>
      </c>
      <c r="Q355" t="s">
        <v>1086</v>
      </c>
      <c r="R355">
        <v>8</v>
      </c>
      <c r="Z355" s="1" t="s">
        <v>1087</v>
      </c>
    </row>
    <row r="356" spans="16:26" ht="12.75" hidden="1">
      <c r="P356">
        <v>371</v>
      </c>
      <c r="Q356" t="s">
        <v>1088</v>
      </c>
      <c r="R356">
        <v>13</v>
      </c>
      <c r="Z356" s="1" t="s">
        <v>1089</v>
      </c>
    </row>
    <row r="357" spans="16:26" ht="12.75" hidden="1">
      <c r="P357">
        <v>372</v>
      </c>
      <c r="Q357" t="s">
        <v>1090</v>
      </c>
      <c r="R357">
        <v>12</v>
      </c>
      <c r="Z357" s="1" t="s">
        <v>1091</v>
      </c>
    </row>
    <row r="358" spans="16:26" ht="12.75" hidden="1">
      <c r="P358">
        <v>373</v>
      </c>
      <c r="Q358" t="s">
        <v>1092</v>
      </c>
      <c r="R358">
        <v>8</v>
      </c>
      <c r="Z358" s="1" t="s">
        <v>1093</v>
      </c>
    </row>
    <row r="359" spans="16:26" ht="12.75" hidden="1">
      <c r="P359">
        <v>374</v>
      </c>
      <c r="Q359" t="s">
        <v>1094</v>
      </c>
      <c r="R359">
        <v>18</v>
      </c>
      <c r="Z359" s="1" t="s">
        <v>1095</v>
      </c>
    </row>
    <row r="360" spans="16:26" ht="12.75" hidden="1">
      <c r="P360">
        <v>375</v>
      </c>
      <c r="Q360" t="s">
        <v>1096</v>
      </c>
      <c r="R360">
        <v>7</v>
      </c>
      <c r="Z360" s="1" t="s">
        <v>1097</v>
      </c>
    </row>
    <row r="361" spans="16:26" ht="12.75" hidden="1">
      <c r="P361">
        <v>376</v>
      </c>
      <c r="Q361" t="s">
        <v>1098</v>
      </c>
      <c r="R361">
        <v>1</v>
      </c>
      <c r="Z361" s="1" t="s">
        <v>1099</v>
      </c>
    </row>
    <row r="362" spans="16:26" ht="12.75" hidden="1">
      <c r="P362">
        <v>377</v>
      </c>
      <c r="Q362" t="s">
        <v>1100</v>
      </c>
      <c r="R362">
        <v>15</v>
      </c>
      <c r="Z362" s="1" t="s">
        <v>1101</v>
      </c>
    </row>
    <row r="363" spans="16:26" ht="12.75" hidden="1">
      <c r="P363">
        <v>378</v>
      </c>
      <c r="Q363" t="s">
        <v>1102</v>
      </c>
      <c r="R363">
        <v>4</v>
      </c>
      <c r="Z363" s="1" t="s">
        <v>1103</v>
      </c>
    </row>
    <row r="364" spans="16:26" ht="12.75" hidden="1">
      <c r="P364">
        <v>379</v>
      </c>
      <c r="Q364" t="s">
        <v>1104</v>
      </c>
      <c r="R364">
        <v>13</v>
      </c>
      <c r="Z364" s="1" t="s">
        <v>1105</v>
      </c>
    </row>
    <row r="365" spans="16:26" ht="12.75" hidden="1">
      <c r="P365">
        <v>380</v>
      </c>
      <c r="Q365" t="s">
        <v>1106</v>
      </c>
      <c r="R365">
        <v>1</v>
      </c>
      <c r="Z365" s="1" t="s">
        <v>1107</v>
      </c>
    </row>
    <row r="366" spans="16:26" ht="12.75" hidden="1">
      <c r="P366">
        <v>381</v>
      </c>
      <c r="Q366" t="s">
        <v>1108</v>
      </c>
      <c r="R366">
        <v>14</v>
      </c>
      <c r="Z366" s="1" t="s">
        <v>1109</v>
      </c>
    </row>
    <row r="367" spans="16:26" ht="12.75" hidden="1">
      <c r="P367">
        <v>382</v>
      </c>
      <c r="Q367" t="s">
        <v>1110</v>
      </c>
      <c r="R367">
        <v>17</v>
      </c>
      <c r="Z367" s="1" t="s">
        <v>1111</v>
      </c>
    </row>
    <row r="368" spans="16:26" ht="12.75" hidden="1">
      <c r="P368">
        <v>383</v>
      </c>
      <c r="Q368" t="s">
        <v>1112</v>
      </c>
      <c r="R368">
        <v>17</v>
      </c>
      <c r="Z368" s="1" t="s">
        <v>1113</v>
      </c>
    </row>
    <row r="369" spans="16:26" ht="12.75" hidden="1">
      <c r="P369">
        <v>385</v>
      </c>
      <c r="Q369" t="s">
        <v>1114</v>
      </c>
      <c r="R369">
        <v>20</v>
      </c>
      <c r="Z369" s="1" t="s">
        <v>1115</v>
      </c>
    </row>
    <row r="370" spans="16:26" ht="12.75" hidden="1">
      <c r="P370">
        <v>386</v>
      </c>
      <c r="Q370" t="s">
        <v>1116</v>
      </c>
      <c r="R370">
        <v>14</v>
      </c>
      <c r="Z370" s="1" t="s">
        <v>1117</v>
      </c>
    </row>
    <row r="371" spans="16:26" ht="12.75" hidden="1">
      <c r="P371">
        <v>387</v>
      </c>
      <c r="Q371" t="s">
        <v>1118</v>
      </c>
      <c r="R371">
        <v>9</v>
      </c>
      <c r="Z371" s="1" t="s">
        <v>1119</v>
      </c>
    </row>
    <row r="372" spans="16:26" ht="12.75" hidden="1">
      <c r="P372">
        <v>388</v>
      </c>
      <c r="Q372" t="s">
        <v>1120</v>
      </c>
      <c r="R372">
        <v>12</v>
      </c>
      <c r="Z372" s="1" t="s">
        <v>1121</v>
      </c>
    </row>
    <row r="373" spans="16:26" ht="12.75" hidden="1">
      <c r="P373">
        <v>389</v>
      </c>
      <c r="Q373" t="s">
        <v>1122</v>
      </c>
      <c r="R373">
        <v>17</v>
      </c>
      <c r="Z373" s="1" t="s">
        <v>1123</v>
      </c>
    </row>
    <row r="374" spans="16:26" ht="12.75" hidden="1">
      <c r="P374">
        <v>390</v>
      </c>
      <c r="Q374" t="s">
        <v>1124</v>
      </c>
      <c r="R374">
        <v>7</v>
      </c>
      <c r="Z374" s="1" t="s">
        <v>1125</v>
      </c>
    </row>
    <row r="375" spans="16:26" ht="12.75" hidden="1">
      <c r="P375">
        <v>391</v>
      </c>
      <c r="Q375" t="s">
        <v>1126</v>
      </c>
      <c r="R375">
        <v>3</v>
      </c>
      <c r="Z375" s="1" t="s">
        <v>1127</v>
      </c>
    </row>
    <row r="376" spans="16:26" ht="12.75" hidden="1">
      <c r="P376">
        <v>393</v>
      </c>
      <c r="Q376" t="s">
        <v>1128</v>
      </c>
      <c r="R376">
        <v>8</v>
      </c>
      <c r="Z376" s="1" t="s">
        <v>1129</v>
      </c>
    </row>
    <row r="377" spans="16:26" ht="12.75" hidden="1">
      <c r="P377">
        <v>394</v>
      </c>
      <c r="Q377" t="s">
        <v>1130</v>
      </c>
      <c r="R377">
        <v>15</v>
      </c>
      <c r="Z377" s="1" t="s">
        <v>1131</v>
      </c>
    </row>
    <row r="378" spans="16:26" ht="12.75" hidden="1">
      <c r="P378">
        <v>395</v>
      </c>
      <c r="Q378" t="s">
        <v>1132</v>
      </c>
      <c r="R378">
        <v>10</v>
      </c>
      <c r="Z378" s="1" t="s">
        <v>1133</v>
      </c>
    </row>
    <row r="379" spans="16:26" ht="12.75" hidden="1">
      <c r="P379">
        <v>396</v>
      </c>
      <c r="Q379" t="s">
        <v>1134</v>
      </c>
      <c r="R379">
        <v>12</v>
      </c>
      <c r="Z379" s="1" t="s">
        <v>1135</v>
      </c>
    </row>
    <row r="380" spans="16:26" ht="12.75" hidden="1">
      <c r="P380">
        <v>397</v>
      </c>
      <c r="Q380" t="s">
        <v>1136</v>
      </c>
      <c r="R380">
        <v>12</v>
      </c>
      <c r="Z380" s="1" t="s">
        <v>1137</v>
      </c>
    </row>
    <row r="381" spans="16:26" ht="12.75" hidden="1">
      <c r="P381">
        <v>399</v>
      </c>
      <c r="Q381" t="s">
        <v>1138</v>
      </c>
      <c r="R381">
        <v>19</v>
      </c>
      <c r="Z381" s="1" t="s">
        <v>1139</v>
      </c>
    </row>
    <row r="382" spans="16:26" ht="12.75" hidden="1">
      <c r="P382">
        <v>400</v>
      </c>
      <c r="Q382" t="s">
        <v>1140</v>
      </c>
      <c r="R382">
        <v>4</v>
      </c>
      <c r="Z382" s="1" t="s">
        <v>1141</v>
      </c>
    </row>
    <row r="383" spans="16:26" ht="12.75" hidden="1">
      <c r="P383">
        <v>402</v>
      </c>
      <c r="Q383" t="s">
        <v>1142</v>
      </c>
      <c r="R383">
        <v>19</v>
      </c>
      <c r="Z383" s="1" t="s">
        <v>1143</v>
      </c>
    </row>
    <row r="384" spans="16:26" ht="12.75" hidden="1">
      <c r="P384">
        <v>405</v>
      </c>
      <c r="Q384" t="s">
        <v>1144</v>
      </c>
      <c r="R384">
        <v>6</v>
      </c>
      <c r="Z384" s="1" t="s">
        <v>1145</v>
      </c>
    </row>
    <row r="385" spans="16:26" ht="12.75" hidden="1">
      <c r="P385">
        <v>406</v>
      </c>
      <c r="Q385" t="s">
        <v>1146</v>
      </c>
      <c r="R385">
        <v>17</v>
      </c>
      <c r="Z385" s="1" t="s">
        <v>1147</v>
      </c>
    </row>
    <row r="386" spans="16:26" ht="12.75" hidden="1">
      <c r="P386">
        <v>407</v>
      </c>
      <c r="Q386" t="s">
        <v>1148</v>
      </c>
      <c r="R386">
        <v>10</v>
      </c>
      <c r="Z386" s="1" t="s">
        <v>1149</v>
      </c>
    </row>
    <row r="387" spans="16:26" ht="12.75" hidden="1">
      <c r="P387">
        <v>409</v>
      </c>
      <c r="Q387" t="s">
        <v>1150</v>
      </c>
      <c r="R387">
        <v>17</v>
      </c>
      <c r="Z387" s="1" t="s">
        <v>1151</v>
      </c>
    </row>
    <row r="388" spans="16:26" ht="12.75" hidden="1">
      <c r="P388">
        <v>410</v>
      </c>
      <c r="Q388" t="s">
        <v>1152</v>
      </c>
      <c r="R388">
        <v>5</v>
      </c>
      <c r="Z388" s="1" t="s">
        <v>1153</v>
      </c>
    </row>
    <row r="389" spans="16:26" ht="12.75" hidden="1">
      <c r="P389">
        <v>411</v>
      </c>
      <c r="Q389" t="s">
        <v>1154</v>
      </c>
      <c r="R389">
        <v>13</v>
      </c>
      <c r="Z389" s="1" t="s">
        <v>1155</v>
      </c>
    </row>
    <row r="390" spans="16:26" ht="12.75" hidden="1">
      <c r="P390">
        <v>412</v>
      </c>
      <c r="Q390" t="s">
        <v>1156</v>
      </c>
      <c r="R390">
        <v>12</v>
      </c>
      <c r="Z390" s="1" t="s">
        <v>1157</v>
      </c>
    </row>
    <row r="391" spans="16:26" ht="12.75" hidden="1">
      <c r="P391">
        <v>413</v>
      </c>
      <c r="Q391" t="s">
        <v>1158</v>
      </c>
      <c r="R391">
        <v>17</v>
      </c>
      <c r="Z391" s="1" t="s">
        <v>1159</v>
      </c>
    </row>
    <row r="392" spans="16:26" ht="12.75" hidden="1">
      <c r="P392">
        <v>414</v>
      </c>
      <c r="Q392" t="s">
        <v>1160</v>
      </c>
      <c r="R392">
        <v>16</v>
      </c>
      <c r="Z392" s="1" t="s">
        <v>1161</v>
      </c>
    </row>
    <row r="393" spans="16:26" ht="12.75" hidden="1">
      <c r="P393">
        <v>415</v>
      </c>
      <c r="Q393" t="s">
        <v>1162</v>
      </c>
      <c r="R393">
        <v>16</v>
      </c>
      <c r="Z393" s="1" t="s">
        <v>1163</v>
      </c>
    </row>
    <row r="394" spans="16:26" ht="12.75" hidden="1">
      <c r="P394">
        <v>416</v>
      </c>
      <c r="Q394" t="s">
        <v>1164</v>
      </c>
      <c r="R394">
        <v>13</v>
      </c>
      <c r="Z394" s="1" t="s">
        <v>1165</v>
      </c>
    </row>
    <row r="395" spans="16:26" ht="12.75" hidden="1">
      <c r="P395">
        <v>418</v>
      </c>
      <c r="Q395" t="s">
        <v>1166</v>
      </c>
      <c r="R395">
        <v>12</v>
      </c>
      <c r="Z395" s="1" t="s">
        <v>1167</v>
      </c>
    </row>
    <row r="396" spans="16:26" ht="12.75" hidden="1">
      <c r="P396">
        <v>419</v>
      </c>
      <c r="Q396" t="s">
        <v>1168</v>
      </c>
      <c r="R396">
        <v>19</v>
      </c>
      <c r="Z396" s="1" t="s">
        <v>1169</v>
      </c>
    </row>
    <row r="397" spans="16:26" ht="12.75" hidden="1">
      <c r="P397">
        <v>421</v>
      </c>
      <c r="Q397" t="s">
        <v>1170</v>
      </c>
      <c r="R397">
        <v>14</v>
      </c>
      <c r="Z397" s="1" t="s">
        <v>1171</v>
      </c>
    </row>
    <row r="398" spans="16:26" ht="12.75" hidden="1">
      <c r="P398">
        <v>422</v>
      </c>
      <c r="Q398" t="s">
        <v>1172</v>
      </c>
      <c r="R398">
        <v>2</v>
      </c>
      <c r="Z398" s="1" t="s">
        <v>1173</v>
      </c>
    </row>
    <row r="399" spans="16:26" ht="12.75" hidden="1">
      <c r="P399">
        <v>423</v>
      </c>
      <c r="Q399" t="s">
        <v>1174</v>
      </c>
      <c r="R399">
        <v>17</v>
      </c>
      <c r="Z399" s="1" t="s">
        <v>1175</v>
      </c>
    </row>
    <row r="400" spans="16:26" ht="12.75" hidden="1">
      <c r="P400">
        <v>424</v>
      </c>
      <c r="Q400" t="s">
        <v>1176</v>
      </c>
      <c r="R400">
        <v>10</v>
      </c>
      <c r="Z400" s="1" t="s">
        <v>1177</v>
      </c>
    </row>
    <row r="401" spans="16:26" ht="12.75" hidden="1">
      <c r="P401">
        <v>425</v>
      </c>
      <c r="Q401" t="s">
        <v>1178</v>
      </c>
      <c r="R401">
        <v>13</v>
      </c>
      <c r="Z401" s="1" t="s">
        <v>1179</v>
      </c>
    </row>
    <row r="402" spans="16:26" ht="12.75" hidden="1">
      <c r="P402">
        <v>426</v>
      </c>
      <c r="Q402" t="s">
        <v>1180</v>
      </c>
      <c r="R402">
        <v>3</v>
      </c>
      <c r="Z402" s="1" t="s">
        <v>1181</v>
      </c>
    </row>
    <row r="403" spans="16:26" ht="12.75" hidden="1">
      <c r="P403">
        <v>427</v>
      </c>
      <c r="Q403" t="s">
        <v>1182</v>
      </c>
      <c r="R403">
        <v>17</v>
      </c>
      <c r="Z403" s="1" t="s">
        <v>1183</v>
      </c>
    </row>
    <row r="404" spans="16:26" ht="12.75" hidden="1">
      <c r="P404">
        <v>428</v>
      </c>
      <c r="Q404" t="s">
        <v>1184</v>
      </c>
      <c r="R404">
        <v>13</v>
      </c>
      <c r="Z404" s="1" t="s">
        <v>1185</v>
      </c>
    </row>
    <row r="405" spans="16:26" ht="12.75" hidden="1">
      <c r="P405">
        <v>429</v>
      </c>
      <c r="Q405" t="s">
        <v>1186</v>
      </c>
      <c r="R405">
        <v>1</v>
      </c>
      <c r="Z405" s="1" t="s">
        <v>1187</v>
      </c>
    </row>
    <row r="406" spans="16:26" ht="12.75" hidden="1">
      <c r="P406">
        <v>430</v>
      </c>
      <c r="Q406" t="s">
        <v>1188</v>
      </c>
      <c r="R406">
        <v>2</v>
      </c>
      <c r="Z406" s="1" t="s">
        <v>1189</v>
      </c>
    </row>
    <row r="407" spans="16:26" ht="12.75" hidden="1">
      <c r="P407">
        <v>431</v>
      </c>
      <c r="Q407" t="s">
        <v>1190</v>
      </c>
      <c r="R407">
        <v>18</v>
      </c>
      <c r="Z407" s="1" t="s">
        <v>1191</v>
      </c>
    </row>
    <row r="408" spans="16:26" ht="12.75" hidden="1">
      <c r="P408">
        <v>432</v>
      </c>
      <c r="Q408" t="s">
        <v>1192</v>
      </c>
      <c r="R408">
        <v>18</v>
      </c>
      <c r="Z408" s="1" t="s">
        <v>1193</v>
      </c>
    </row>
    <row r="409" spans="16:26" ht="12.75" hidden="1">
      <c r="P409">
        <v>433</v>
      </c>
      <c r="Q409" t="s">
        <v>1194</v>
      </c>
      <c r="R409">
        <v>18</v>
      </c>
      <c r="Z409" s="1" t="s">
        <v>1195</v>
      </c>
    </row>
    <row r="410" spans="16:26" ht="12.75" hidden="1">
      <c r="P410">
        <v>435</v>
      </c>
      <c r="Q410" t="s">
        <v>1196</v>
      </c>
      <c r="R410">
        <v>18</v>
      </c>
      <c r="Z410" s="1" t="s">
        <v>1197</v>
      </c>
    </row>
    <row r="411" spans="16:26" ht="12.75" hidden="1">
      <c r="P411">
        <v>436</v>
      </c>
      <c r="Q411" t="s">
        <v>1198</v>
      </c>
      <c r="R411">
        <v>1</v>
      </c>
      <c r="Z411" s="1" t="s">
        <v>1199</v>
      </c>
    </row>
    <row r="412" spans="16:26" ht="12.75" hidden="1">
      <c r="P412">
        <v>437</v>
      </c>
      <c r="Q412" t="s">
        <v>1200</v>
      </c>
      <c r="R412">
        <v>5</v>
      </c>
      <c r="Z412" s="1" t="s">
        <v>1201</v>
      </c>
    </row>
    <row r="413" spans="16:26" ht="12.75" hidden="1">
      <c r="P413">
        <v>438</v>
      </c>
      <c r="Q413" t="s">
        <v>1202</v>
      </c>
      <c r="R413">
        <v>5</v>
      </c>
      <c r="Z413" s="1" t="s">
        <v>1203</v>
      </c>
    </row>
    <row r="414" spans="16:26" ht="12.75" hidden="1">
      <c r="P414">
        <v>439</v>
      </c>
      <c r="Q414" t="s">
        <v>1204</v>
      </c>
      <c r="R414">
        <v>6</v>
      </c>
      <c r="Z414" s="1" t="s">
        <v>1205</v>
      </c>
    </row>
    <row r="415" spans="16:26" ht="12.75" hidden="1">
      <c r="P415">
        <v>440</v>
      </c>
      <c r="Q415" t="s">
        <v>1206</v>
      </c>
      <c r="R415">
        <v>20</v>
      </c>
      <c r="Z415" s="1" t="s">
        <v>1207</v>
      </c>
    </row>
    <row r="416" spans="16:26" ht="12.75" hidden="1">
      <c r="P416">
        <v>441</v>
      </c>
      <c r="Q416" t="s">
        <v>1208</v>
      </c>
      <c r="R416">
        <v>20</v>
      </c>
      <c r="Z416" s="1" t="s">
        <v>1209</v>
      </c>
    </row>
    <row r="417" spans="16:26" ht="12.75" hidden="1">
      <c r="P417">
        <v>442</v>
      </c>
      <c r="Q417" t="s">
        <v>1210</v>
      </c>
      <c r="R417">
        <v>6</v>
      </c>
      <c r="Z417" s="1" t="s">
        <v>1211</v>
      </c>
    </row>
    <row r="418" spans="16:26" ht="12.75" hidden="1">
      <c r="P418">
        <v>443</v>
      </c>
      <c r="Q418" t="s">
        <v>1212</v>
      </c>
      <c r="R418">
        <v>17</v>
      </c>
      <c r="Z418" s="1" t="s">
        <v>1213</v>
      </c>
    </row>
    <row r="419" spans="16:26" ht="12.75" hidden="1">
      <c r="P419">
        <v>444</v>
      </c>
      <c r="Q419" t="s">
        <v>1214</v>
      </c>
      <c r="R419">
        <v>15</v>
      </c>
      <c r="Z419" s="1" t="s">
        <v>1215</v>
      </c>
    </row>
    <row r="420" spans="16:26" ht="12.75" hidden="1">
      <c r="P420">
        <v>445</v>
      </c>
      <c r="Q420" t="s">
        <v>1216</v>
      </c>
      <c r="R420">
        <v>13</v>
      </c>
      <c r="Z420" s="1" t="s">
        <v>1217</v>
      </c>
    </row>
    <row r="421" spans="16:26" ht="12.75" hidden="1">
      <c r="P421">
        <v>447</v>
      </c>
      <c r="Q421" t="s">
        <v>1218</v>
      </c>
      <c r="R421">
        <v>17</v>
      </c>
      <c r="Z421" s="1" t="s">
        <v>1219</v>
      </c>
    </row>
    <row r="422" spans="16:26" ht="12.75" hidden="1">
      <c r="P422">
        <v>449</v>
      </c>
      <c r="Q422" t="s">
        <v>1220</v>
      </c>
      <c r="R422">
        <v>10</v>
      </c>
      <c r="Z422" s="1" t="s">
        <v>1221</v>
      </c>
    </row>
    <row r="423" spans="16:26" ht="12.75" hidden="1">
      <c r="P423">
        <v>450</v>
      </c>
      <c r="Q423" t="s">
        <v>1222</v>
      </c>
      <c r="R423">
        <v>7</v>
      </c>
      <c r="Z423" s="1" t="s">
        <v>1223</v>
      </c>
    </row>
    <row r="424" spans="16:26" ht="12.75" hidden="1">
      <c r="P424">
        <v>452</v>
      </c>
      <c r="Q424" t="s">
        <v>1224</v>
      </c>
      <c r="R424">
        <v>20</v>
      </c>
      <c r="Z424" s="1" t="s">
        <v>1225</v>
      </c>
    </row>
    <row r="425" spans="16:26" ht="12.75" hidden="1">
      <c r="P425">
        <v>453</v>
      </c>
      <c r="Q425" t="s">
        <v>1226</v>
      </c>
      <c r="R425">
        <v>18</v>
      </c>
      <c r="Z425" s="1" t="s">
        <v>1227</v>
      </c>
    </row>
    <row r="426" spans="16:26" ht="12.75" hidden="1">
      <c r="P426">
        <v>454</v>
      </c>
      <c r="Q426" t="s">
        <v>1228</v>
      </c>
      <c r="R426">
        <v>15</v>
      </c>
      <c r="Z426" s="1" t="s">
        <v>1229</v>
      </c>
    </row>
    <row r="427" spans="16:26" ht="12.75" hidden="1">
      <c r="P427">
        <v>455</v>
      </c>
      <c r="Q427" t="s">
        <v>1230</v>
      </c>
      <c r="R427">
        <v>9</v>
      </c>
      <c r="Z427" s="1" t="s">
        <v>1231</v>
      </c>
    </row>
    <row r="428" spans="16:26" ht="12.75" hidden="1">
      <c r="P428">
        <v>456</v>
      </c>
      <c r="Q428" t="s">
        <v>1232</v>
      </c>
      <c r="R428">
        <v>16</v>
      </c>
      <c r="Z428" s="1" t="s">
        <v>1233</v>
      </c>
    </row>
    <row r="429" spans="16:26" ht="12.75" hidden="1">
      <c r="P429">
        <v>457</v>
      </c>
      <c r="Q429" t="s">
        <v>1234</v>
      </c>
      <c r="R429">
        <v>3</v>
      </c>
      <c r="Z429" s="1" t="s">
        <v>1235</v>
      </c>
    </row>
    <row r="430" spans="16:26" ht="12.75" hidden="1">
      <c r="P430">
        <v>458</v>
      </c>
      <c r="Q430" t="s">
        <v>1236</v>
      </c>
      <c r="R430">
        <v>16</v>
      </c>
      <c r="Z430" s="1" t="s">
        <v>1237</v>
      </c>
    </row>
    <row r="431" spans="16:26" ht="12.75" hidden="1">
      <c r="P431">
        <v>459</v>
      </c>
      <c r="Q431" t="s">
        <v>1238</v>
      </c>
      <c r="R431">
        <v>16</v>
      </c>
      <c r="Z431" s="1" t="s">
        <v>1239</v>
      </c>
    </row>
    <row r="432" spans="16:26" ht="12.75" hidden="1">
      <c r="P432">
        <v>460</v>
      </c>
      <c r="Q432" t="s">
        <v>1240</v>
      </c>
      <c r="R432">
        <v>17</v>
      </c>
      <c r="Z432" s="1" t="s">
        <v>1241</v>
      </c>
    </row>
    <row r="433" spans="16:26" ht="12.75" hidden="1">
      <c r="P433">
        <v>461</v>
      </c>
      <c r="Q433" t="s">
        <v>1242</v>
      </c>
      <c r="R433">
        <v>14</v>
      </c>
      <c r="Z433" s="1" t="s">
        <v>1243</v>
      </c>
    </row>
    <row r="434" spans="16:26" ht="12.75" hidden="1">
      <c r="P434">
        <v>462</v>
      </c>
      <c r="Q434" t="s">
        <v>1244</v>
      </c>
      <c r="R434">
        <v>5</v>
      </c>
      <c r="Z434" s="1" t="s">
        <v>1245</v>
      </c>
    </row>
    <row r="435" spans="16:26" ht="12.75" hidden="1">
      <c r="P435">
        <v>463</v>
      </c>
      <c r="Q435" t="s">
        <v>1246</v>
      </c>
      <c r="R435">
        <v>17</v>
      </c>
      <c r="Z435" s="1" t="s">
        <v>1247</v>
      </c>
    </row>
    <row r="436" spans="16:26" ht="12.75" hidden="1">
      <c r="P436">
        <v>464</v>
      </c>
      <c r="Q436" t="s">
        <v>1248</v>
      </c>
      <c r="R436">
        <v>16</v>
      </c>
      <c r="Z436" s="1" t="s">
        <v>1249</v>
      </c>
    </row>
    <row r="437" spans="16:26" ht="12.75" hidden="1">
      <c r="P437">
        <v>466</v>
      </c>
      <c r="Q437" t="s">
        <v>1250</v>
      </c>
      <c r="R437">
        <v>2</v>
      </c>
      <c r="Z437" s="1" t="s">
        <v>1251</v>
      </c>
    </row>
    <row r="438" spans="16:26" ht="12.75" hidden="1">
      <c r="P438">
        <v>467</v>
      </c>
      <c r="Q438" t="s">
        <v>1252</v>
      </c>
      <c r="R438">
        <v>9</v>
      </c>
      <c r="Z438" s="1" t="s">
        <v>1253</v>
      </c>
    </row>
    <row r="439" spans="16:26" ht="12.75" hidden="1">
      <c r="P439">
        <v>468</v>
      </c>
      <c r="Q439" t="s">
        <v>1254</v>
      </c>
      <c r="R439">
        <v>18</v>
      </c>
      <c r="Z439" s="1" t="s">
        <v>1255</v>
      </c>
    </row>
    <row r="440" spans="16:26" ht="12.75" hidden="1">
      <c r="P440">
        <v>469</v>
      </c>
      <c r="Q440" t="s">
        <v>1256</v>
      </c>
      <c r="R440">
        <v>15</v>
      </c>
      <c r="Z440" s="1" t="s">
        <v>1257</v>
      </c>
    </row>
    <row r="441" spans="16:26" ht="12.75" hidden="1">
      <c r="P441">
        <v>471</v>
      </c>
      <c r="Q441" t="s">
        <v>1258</v>
      </c>
      <c r="R441">
        <v>14</v>
      </c>
      <c r="Z441" s="1" t="s">
        <v>1259</v>
      </c>
    </row>
    <row r="442" spans="16:26" ht="12.75" hidden="1">
      <c r="P442">
        <v>472</v>
      </c>
      <c r="Q442" t="s">
        <v>1260</v>
      </c>
      <c r="R442">
        <v>5</v>
      </c>
      <c r="Z442" s="1" t="s">
        <v>1261</v>
      </c>
    </row>
    <row r="443" spans="16:26" ht="12.75" hidden="1">
      <c r="P443">
        <v>473</v>
      </c>
      <c r="Q443" t="s">
        <v>1262</v>
      </c>
      <c r="R443">
        <v>5</v>
      </c>
      <c r="Z443" s="1" t="s">
        <v>1263</v>
      </c>
    </row>
    <row r="444" spans="16:26" ht="12.75" hidden="1">
      <c r="P444">
        <v>474</v>
      </c>
      <c r="Q444" t="s">
        <v>1264</v>
      </c>
      <c r="R444">
        <v>19</v>
      </c>
      <c r="Z444" s="1" t="s">
        <v>1265</v>
      </c>
    </row>
    <row r="445" spans="16:26" ht="12.75" hidden="1">
      <c r="P445">
        <v>475</v>
      </c>
      <c r="Q445" t="s">
        <v>1266</v>
      </c>
      <c r="R445">
        <v>11</v>
      </c>
      <c r="Z445" s="1" t="s">
        <v>1267</v>
      </c>
    </row>
    <row r="446" spans="16:26" ht="12.75" hidden="1">
      <c r="P446">
        <v>476</v>
      </c>
      <c r="Q446" t="s">
        <v>1268</v>
      </c>
      <c r="R446">
        <v>12</v>
      </c>
      <c r="Z446" s="1" t="s">
        <v>1269</v>
      </c>
    </row>
    <row r="447" spans="16:26" ht="12.75" hidden="1">
      <c r="P447">
        <v>477</v>
      </c>
      <c r="Q447" t="s">
        <v>1270</v>
      </c>
      <c r="R447">
        <v>3</v>
      </c>
      <c r="Z447" s="1" t="s">
        <v>1271</v>
      </c>
    </row>
    <row r="448" spans="16:26" ht="12.75" hidden="1">
      <c r="P448">
        <v>478</v>
      </c>
      <c r="Q448" t="s">
        <v>1272</v>
      </c>
      <c r="R448">
        <v>7</v>
      </c>
      <c r="Z448" s="1" t="s">
        <v>1273</v>
      </c>
    </row>
    <row r="449" spans="16:26" ht="12.75" hidden="1">
      <c r="P449">
        <v>480</v>
      </c>
      <c r="Q449" t="s">
        <v>1274</v>
      </c>
      <c r="R449">
        <v>7</v>
      </c>
      <c r="Z449" s="1" t="s">
        <v>1275</v>
      </c>
    </row>
    <row r="450" spans="16:26" ht="12.75" hidden="1">
      <c r="P450">
        <v>481</v>
      </c>
      <c r="Q450" t="s">
        <v>1276</v>
      </c>
      <c r="R450">
        <v>2</v>
      </c>
      <c r="Z450" s="1" t="s">
        <v>1277</v>
      </c>
    </row>
    <row r="451" spans="16:26" ht="12.75" hidden="1">
      <c r="P451">
        <v>483</v>
      </c>
      <c r="Q451" t="s">
        <v>1278</v>
      </c>
      <c r="R451">
        <v>7</v>
      </c>
      <c r="Z451" s="1" t="s">
        <v>1279</v>
      </c>
    </row>
    <row r="452" spans="16:26" ht="12.75" hidden="1">
      <c r="P452">
        <v>484</v>
      </c>
      <c r="Q452" t="s">
        <v>1280</v>
      </c>
      <c r="R452">
        <v>5</v>
      </c>
      <c r="Z452" s="1" t="s">
        <v>1281</v>
      </c>
    </row>
    <row r="453" spans="16:26" ht="12.75" hidden="1">
      <c r="P453">
        <v>485</v>
      </c>
      <c r="Q453" t="s">
        <v>1282</v>
      </c>
      <c r="R453">
        <v>14</v>
      </c>
      <c r="Z453" s="1" t="s">
        <v>1283</v>
      </c>
    </row>
    <row r="454" spans="16:26" ht="12.75" hidden="1">
      <c r="P454">
        <v>486</v>
      </c>
      <c r="Q454" t="s">
        <v>1284</v>
      </c>
      <c r="R454">
        <v>5</v>
      </c>
      <c r="Z454" s="1" t="s">
        <v>1285</v>
      </c>
    </row>
    <row r="455" spans="16:26" ht="12.75" hidden="1">
      <c r="P455">
        <v>487</v>
      </c>
      <c r="Q455" t="s">
        <v>1286</v>
      </c>
      <c r="R455">
        <v>16</v>
      </c>
      <c r="Z455" s="1" t="s">
        <v>1287</v>
      </c>
    </row>
    <row r="456" spans="16:26" ht="12.75" hidden="1">
      <c r="P456">
        <v>488</v>
      </c>
      <c r="Q456" t="s">
        <v>1288</v>
      </c>
      <c r="R456">
        <v>8</v>
      </c>
      <c r="Z456" s="1" t="s">
        <v>1289</v>
      </c>
    </row>
    <row r="457" spans="16:26" ht="12.75" hidden="1">
      <c r="P457">
        <v>489</v>
      </c>
      <c r="Q457" t="s">
        <v>1290</v>
      </c>
      <c r="R457">
        <v>13</v>
      </c>
      <c r="Z457" s="1" t="s">
        <v>1291</v>
      </c>
    </row>
    <row r="458" spans="16:26" ht="12.75" hidden="1">
      <c r="P458">
        <v>490</v>
      </c>
      <c r="Q458" t="s">
        <v>1292</v>
      </c>
      <c r="R458">
        <v>6</v>
      </c>
      <c r="Z458" s="1" t="s">
        <v>1293</v>
      </c>
    </row>
    <row r="459" spans="16:26" ht="12.75" hidden="1">
      <c r="P459">
        <v>491</v>
      </c>
      <c r="Q459" t="s">
        <v>1294</v>
      </c>
      <c r="R459">
        <v>10</v>
      </c>
      <c r="Z459" s="1" t="s">
        <v>1295</v>
      </c>
    </row>
    <row r="460" spans="16:26" ht="12.75" hidden="1">
      <c r="P460">
        <v>492</v>
      </c>
      <c r="Q460" t="s">
        <v>1296</v>
      </c>
      <c r="R460">
        <v>17</v>
      </c>
      <c r="Z460" s="1" t="s">
        <v>1297</v>
      </c>
    </row>
    <row r="461" spans="16:26" ht="12.75" hidden="1">
      <c r="P461">
        <v>493</v>
      </c>
      <c r="Q461" t="s">
        <v>1298</v>
      </c>
      <c r="R461">
        <v>5</v>
      </c>
      <c r="Z461" s="1" t="s">
        <v>1299</v>
      </c>
    </row>
    <row r="462" spans="16:26" ht="12.75" hidden="1">
      <c r="P462">
        <v>494</v>
      </c>
      <c r="Q462" t="s">
        <v>1300</v>
      </c>
      <c r="R462">
        <v>14</v>
      </c>
      <c r="Z462" s="1" t="s">
        <v>1301</v>
      </c>
    </row>
    <row r="463" spans="16:26" ht="12.75" hidden="1">
      <c r="P463">
        <v>495</v>
      </c>
      <c r="Q463" t="s">
        <v>1302</v>
      </c>
      <c r="R463">
        <v>8</v>
      </c>
      <c r="Z463" s="1" t="s">
        <v>1303</v>
      </c>
    </row>
    <row r="464" spans="16:26" ht="12.75" hidden="1">
      <c r="P464">
        <v>497</v>
      </c>
      <c r="Q464" t="s">
        <v>1304</v>
      </c>
      <c r="R464">
        <v>18</v>
      </c>
      <c r="Z464" s="1" t="s">
        <v>1305</v>
      </c>
    </row>
    <row r="465" spans="16:26" ht="12.75" hidden="1">
      <c r="P465">
        <v>498</v>
      </c>
      <c r="Q465" t="s">
        <v>1306</v>
      </c>
      <c r="R465">
        <v>18</v>
      </c>
      <c r="Z465" s="1" t="s">
        <v>1307</v>
      </c>
    </row>
    <row r="466" spans="16:26" ht="12.75" hidden="1">
      <c r="P466">
        <v>499</v>
      </c>
      <c r="Q466" t="s">
        <v>1308</v>
      </c>
      <c r="R466">
        <v>10</v>
      </c>
      <c r="Z466" s="1" t="s">
        <v>1309</v>
      </c>
    </row>
    <row r="467" spans="16:26" ht="12.75" hidden="1">
      <c r="P467">
        <v>500</v>
      </c>
      <c r="Q467" t="s">
        <v>1310</v>
      </c>
      <c r="R467">
        <v>15</v>
      </c>
      <c r="Z467" s="1" t="s">
        <v>1311</v>
      </c>
    </row>
    <row r="468" spans="16:26" ht="12.75" hidden="1">
      <c r="P468">
        <v>502</v>
      </c>
      <c r="Q468" t="s">
        <v>1312</v>
      </c>
      <c r="R468">
        <v>18</v>
      </c>
      <c r="Z468" s="1" t="s">
        <v>1313</v>
      </c>
    </row>
    <row r="469" spans="16:26" ht="12.75" hidden="1">
      <c r="P469">
        <v>503</v>
      </c>
      <c r="Q469" t="s">
        <v>1314</v>
      </c>
      <c r="R469">
        <v>4</v>
      </c>
      <c r="Z469" s="1" t="s">
        <v>1315</v>
      </c>
    </row>
    <row r="470" spans="16:26" ht="12.75" hidden="1">
      <c r="P470">
        <v>504</v>
      </c>
      <c r="Q470" t="s">
        <v>1316</v>
      </c>
      <c r="R470">
        <v>20</v>
      </c>
      <c r="Z470" s="1" t="s">
        <v>1317</v>
      </c>
    </row>
    <row r="471" spans="16:26" ht="12.75" hidden="1">
      <c r="P471">
        <v>505</v>
      </c>
      <c r="Q471" t="s">
        <v>1318</v>
      </c>
      <c r="R471">
        <v>16</v>
      </c>
      <c r="Z471" s="1" t="s">
        <v>1319</v>
      </c>
    </row>
    <row r="472" spans="16:26" ht="12.75" hidden="1">
      <c r="P472">
        <v>506</v>
      </c>
      <c r="Q472" t="s">
        <v>1320</v>
      </c>
      <c r="R472">
        <v>12</v>
      </c>
      <c r="Z472" s="1" t="s">
        <v>1321</v>
      </c>
    </row>
    <row r="473" spans="16:26" ht="12.75" hidden="1">
      <c r="P473">
        <v>507</v>
      </c>
      <c r="Q473" t="s">
        <v>1322</v>
      </c>
      <c r="R473">
        <v>8</v>
      </c>
      <c r="Z473" s="1" t="s">
        <v>1323</v>
      </c>
    </row>
    <row r="474" spans="16:26" ht="12.75" hidden="1">
      <c r="P474">
        <v>508</v>
      </c>
      <c r="Q474" t="s">
        <v>1324</v>
      </c>
      <c r="R474">
        <v>1</v>
      </c>
      <c r="Z474" s="1" t="s">
        <v>1325</v>
      </c>
    </row>
    <row r="475" spans="16:26" ht="12.75" hidden="1">
      <c r="P475">
        <v>509</v>
      </c>
      <c r="Q475" t="s">
        <v>1326</v>
      </c>
      <c r="R475">
        <v>8</v>
      </c>
      <c r="Z475" s="1" t="s">
        <v>1327</v>
      </c>
    </row>
    <row r="476" spans="16:26" ht="12.75" hidden="1">
      <c r="P476">
        <v>510</v>
      </c>
      <c r="Q476" t="s">
        <v>1328</v>
      </c>
      <c r="R476">
        <v>3</v>
      </c>
      <c r="Z476" s="1" t="s">
        <v>1329</v>
      </c>
    </row>
    <row r="477" spans="16:26" ht="12.75" hidden="1">
      <c r="P477">
        <v>511</v>
      </c>
      <c r="Q477" t="s">
        <v>1330</v>
      </c>
      <c r="R477">
        <v>17</v>
      </c>
      <c r="Z477" s="1" t="s">
        <v>1331</v>
      </c>
    </row>
    <row r="478" spans="16:26" ht="12.75" hidden="1">
      <c r="P478">
        <v>512</v>
      </c>
      <c r="Q478" t="s">
        <v>1332</v>
      </c>
      <c r="R478">
        <v>9</v>
      </c>
      <c r="Z478" s="1" t="s">
        <v>1333</v>
      </c>
    </row>
    <row r="479" spans="16:26" ht="12.75" hidden="1">
      <c r="P479">
        <v>513</v>
      </c>
      <c r="Q479" t="s">
        <v>1334</v>
      </c>
      <c r="R479">
        <v>17</v>
      </c>
      <c r="Z479" s="1" t="s">
        <v>1335</v>
      </c>
    </row>
    <row r="480" spans="16:26" ht="12.75" hidden="1">
      <c r="P480">
        <v>514</v>
      </c>
      <c r="Q480" t="s">
        <v>1336</v>
      </c>
      <c r="R480">
        <v>12</v>
      </c>
      <c r="Z480" s="1" t="s">
        <v>1337</v>
      </c>
    </row>
    <row r="481" spans="16:26" ht="12.75" hidden="1">
      <c r="P481">
        <v>516</v>
      </c>
      <c r="Q481" t="s">
        <v>1338</v>
      </c>
      <c r="R481">
        <v>18</v>
      </c>
      <c r="Z481" s="1" t="s">
        <v>1339</v>
      </c>
    </row>
    <row r="482" spans="16:26" ht="12.75" hidden="1">
      <c r="P482">
        <v>517</v>
      </c>
      <c r="Q482" t="s">
        <v>1340</v>
      </c>
      <c r="R482">
        <v>14</v>
      </c>
      <c r="Z482" s="1" t="s">
        <v>1341</v>
      </c>
    </row>
    <row r="483" spans="16:26" ht="12.75" hidden="1">
      <c r="P483">
        <v>518</v>
      </c>
      <c r="Q483" t="s">
        <v>1342</v>
      </c>
      <c r="R483">
        <v>16</v>
      </c>
      <c r="Z483" s="1" t="s">
        <v>1343</v>
      </c>
    </row>
    <row r="484" spans="16:26" ht="12.75" hidden="1">
      <c r="P484">
        <v>519</v>
      </c>
      <c r="Q484" t="s">
        <v>1344</v>
      </c>
      <c r="R484">
        <v>2</v>
      </c>
      <c r="Z484" s="1" t="s">
        <v>1345</v>
      </c>
    </row>
    <row r="485" spans="16:26" ht="12.75" hidden="1">
      <c r="P485">
        <v>520</v>
      </c>
      <c r="Q485" t="s">
        <v>1346</v>
      </c>
      <c r="R485">
        <v>13</v>
      </c>
      <c r="Z485" s="1" t="s">
        <v>1347</v>
      </c>
    </row>
    <row r="486" spans="16:26" ht="12.75" hidden="1">
      <c r="P486">
        <v>521</v>
      </c>
      <c r="Q486" t="s">
        <v>1348</v>
      </c>
      <c r="R486">
        <v>2</v>
      </c>
      <c r="Z486" s="1" t="s">
        <v>1349</v>
      </c>
    </row>
    <row r="487" spans="16:26" ht="12.75" hidden="1">
      <c r="P487">
        <v>522</v>
      </c>
      <c r="Q487" t="s">
        <v>1350</v>
      </c>
      <c r="R487">
        <v>17</v>
      </c>
      <c r="Z487" s="1" t="s">
        <v>1351</v>
      </c>
    </row>
    <row r="488" spans="16:26" ht="12.75" hidden="1">
      <c r="P488">
        <v>523</v>
      </c>
      <c r="Q488" t="s">
        <v>1352</v>
      </c>
      <c r="R488">
        <v>19</v>
      </c>
      <c r="Z488" s="1" t="s">
        <v>1353</v>
      </c>
    </row>
    <row r="489" spans="16:26" ht="12.75" hidden="1">
      <c r="P489">
        <v>524</v>
      </c>
      <c r="Q489" t="s">
        <v>1354</v>
      </c>
      <c r="R489">
        <v>10</v>
      </c>
      <c r="Z489" s="1" t="s">
        <v>1355</v>
      </c>
    </row>
    <row r="490" spans="16:26" ht="12.75" hidden="1">
      <c r="P490">
        <v>525</v>
      </c>
      <c r="Q490" t="s">
        <v>1356</v>
      </c>
      <c r="R490">
        <v>13</v>
      </c>
      <c r="Z490" s="1" t="s">
        <v>1357</v>
      </c>
    </row>
    <row r="491" spans="16:26" ht="12.75" hidden="1">
      <c r="P491">
        <v>526</v>
      </c>
      <c r="Q491" t="s">
        <v>1358</v>
      </c>
      <c r="R491">
        <v>2</v>
      </c>
      <c r="Z491" s="1" t="s">
        <v>1359</v>
      </c>
    </row>
    <row r="492" spans="16:26" ht="12.75" hidden="1">
      <c r="P492">
        <v>527</v>
      </c>
      <c r="Q492" t="s">
        <v>1360</v>
      </c>
      <c r="R492">
        <v>2</v>
      </c>
      <c r="Z492" s="1" t="s">
        <v>1361</v>
      </c>
    </row>
    <row r="493" spans="16:26" ht="12.75" hidden="1">
      <c r="P493">
        <v>528</v>
      </c>
      <c r="Q493" t="s">
        <v>1362</v>
      </c>
      <c r="R493">
        <v>17</v>
      </c>
      <c r="Z493" s="1" t="s">
        <v>1363</v>
      </c>
    </row>
    <row r="494" spans="16:26" ht="12.75" hidden="1">
      <c r="P494">
        <v>530</v>
      </c>
      <c r="Q494" t="s">
        <v>1364</v>
      </c>
      <c r="R494">
        <v>4</v>
      </c>
      <c r="Z494" s="1" t="s">
        <v>1365</v>
      </c>
    </row>
    <row r="495" spans="16:26" ht="12.75" hidden="1">
      <c r="P495">
        <v>531</v>
      </c>
      <c r="Q495" t="s">
        <v>1366</v>
      </c>
      <c r="R495">
        <v>18</v>
      </c>
      <c r="Z495" s="1" t="s">
        <v>1367</v>
      </c>
    </row>
    <row r="496" spans="16:26" ht="12.75" hidden="1">
      <c r="P496">
        <v>533</v>
      </c>
      <c r="Q496" t="s">
        <v>1368</v>
      </c>
      <c r="R496">
        <v>1</v>
      </c>
      <c r="Z496" s="1" t="s">
        <v>1369</v>
      </c>
    </row>
    <row r="497" spans="16:26" ht="12.75" hidden="1">
      <c r="P497">
        <v>534</v>
      </c>
      <c r="Q497" t="s">
        <v>1370</v>
      </c>
      <c r="R497">
        <v>16</v>
      </c>
      <c r="Z497" s="1" t="s">
        <v>1371</v>
      </c>
    </row>
    <row r="498" spans="16:26" ht="12.75" hidden="1">
      <c r="P498">
        <v>535</v>
      </c>
      <c r="Q498" t="s">
        <v>1372</v>
      </c>
      <c r="R498">
        <v>16</v>
      </c>
      <c r="Z498" s="1" t="s">
        <v>1373</v>
      </c>
    </row>
    <row r="499" spans="16:26" ht="12.75" hidden="1">
      <c r="P499">
        <v>536</v>
      </c>
      <c r="Q499" t="s">
        <v>1374</v>
      </c>
      <c r="R499">
        <v>1</v>
      </c>
      <c r="Z499" s="1" t="s">
        <v>1375</v>
      </c>
    </row>
    <row r="500" spans="16:26" ht="12.75" hidden="1">
      <c r="P500">
        <v>537</v>
      </c>
      <c r="Q500" t="s">
        <v>943</v>
      </c>
      <c r="R500">
        <v>13</v>
      </c>
      <c r="Z500" s="1" t="s">
        <v>1376</v>
      </c>
    </row>
    <row r="501" spans="16:26" ht="12.75" hidden="1">
      <c r="P501">
        <v>538</v>
      </c>
      <c r="Q501" t="s">
        <v>1377</v>
      </c>
      <c r="R501">
        <v>8</v>
      </c>
      <c r="Z501" s="1" t="s">
        <v>1378</v>
      </c>
    </row>
    <row r="502" spans="16:26" ht="12.75" hidden="1">
      <c r="P502">
        <v>539</v>
      </c>
      <c r="Q502" t="s">
        <v>1379</v>
      </c>
      <c r="R502">
        <v>1</v>
      </c>
      <c r="Z502" s="1" t="s">
        <v>1380</v>
      </c>
    </row>
    <row r="503" spans="16:26" ht="12.75" hidden="1">
      <c r="P503">
        <v>540</v>
      </c>
      <c r="Q503" t="s">
        <v>1381</v>
      </c>
      <c r="R503">
        <v>1</v>
      </c>
      <c r="Z503" s="1" t="s">
        <v>1382</v>
      </c>
    </row>
    <row r="504" spans="16:26" ht="12.75" hidden="1">
      <c r="P504">
        <v>541</v>
      </c>
      <c r="Q504" t="s">
        <v>1383</v>
      </c>
      <c r="R504">
        <v>1</v>
      </c>
      <c r="Z504" s="1" t="s">
        <v>1384</v>
      </c>
    </row>
    <row r="505" spans="16:26" ht="12.75" hidden="1">
      <c r="P505">
        <v>542</v>
      </c>
      <c r="Q505" t="s">
        <v>1385</v>
      </c>
      <c r="R505">
        <v>1</v>
      </c>
      <c r="Z505" s="1" t="s">
        <v>1386</v>
      </c>
    </row>
    <row r="506" spans="16:26" ht="12.75" hidden="1">
      <c r="P506">
        <v>543</v>
      </c>
      <c r="Q506" t="s">
        <v>1387</v>
      </c>
      <c r="R506">
        <v>1</v>
      </c>
      <c r="Z506" s="1" t="s">
        <v>1388</v>
      </c>
    </row>
    <row r="507" spans="16:26" ht="12.75" hidden="1">
      <c r="P507">
        <v>544</v>
      </c>
      <c r="Q507" t="s">
        <v>1389</v>
      </c>
      <c r="R507">
        <v>1</v>
      </c>
      <c r="Z507" s="1" t="s">
        <v>1390</v>
      </c>
    </row>
    <row r="508" spans="16:26" ht="12.75" hidden="1">
      <c r="P508">
        <v>545</v>
      </c>
      <c r="Q508" t="s">
        <v>1391</v>
      </c>
      <c r="R508">
        <v>1</v>
      </c>
      <c r="Z508" s="1" t="s">
        <v>1392</v>
      </c>
    </row>
    <row r="509" spans="16:26" ht="12.75" hidden="1">
      <c r="P509">
        <v>547</v>
      </c>
      <c r="Q509" t="s">
        <v>1393</v>
      </c>
      <c r="R509">
        <v>1</v>
      </c>
      <c r="Z509" s="1" t="s">
        <v>1394</v>
      </c>
    </row>
    <row r="510" spans="16:26" ht="12.75" hidden="1">
      <c r="P510">
        <v>548</v>
      </c>
      <c r="Q510" t="s">
        <v>1395</v>
      </c>
      <c r="R510">
        <v>1</v>
      </c>
      <c r="Z510" s="1" t="s">
        <v>1396</v>
      </c>
    </row>
    <row r="511" spans="16:26" ht="12.75" hidden="1">
      <c r="P511">
        <v>549</v>
      </c>
      <c r="Q511" t="s">
        <v>1397</v>
      </c>
      <c r="R511">
        <v>1</v>
      </c>
      <c r="Z511" s="1" t="s">
        <v>1398</v>
      </c>
    </row>
    <row r="512" spans="16:26" ht="12.75" hidden="1">
      <c r="P512">
        <v>550</v>
      </c>
      <c r="Q512" t="s">
        <v>1399</v>
      </c>
      <c r="R512">
        <v>1</v>
      </c>
      <c r="Z512" s="1" t="s">
        <v>1400</v>
      </c>
    </row>
    <row r="513" spans="16:26" ht="12.75" hidden="1">
      <c r="P513">
        <v>551</v>
      </c>
      <c r="Q513" t="s">
        <v>1401</v>
      </c>
      <c r="R513">
        <v>1</v>
      </c>
      <c r="Z513" s="1" t="s">
        <v>1402</v>
      </c>
    </row>
    <row r="514" spans="16:26" ht="12.75" hidden="1">
      <c r="P514">
        <v>552</v>
      </c>
      <c r="Q514" t="s">
        <v>1403</v>
      </c>
      <c r="R514">
        <v>2</v>
      </c>
      <c r="Z514" s="1" t="s">
        <v>1404</v>
      </c>
    </row>
    <row r="515" spans="16:26" ht="12.75" hidden="1">
      <c r="P515">
        <v>553</v>
      </c>
      <c r="Q515" t="s">
        <v>1405</v>
      </c>
      <c r="R515">
        <v>2</v>
      </c>
      <c r="Z515" s="1" t="s">
        <v>1406</v>
      </c>
    </row>
    <row r="516" spans="16:26" ht="12.75" hidden="1">
      <c r="P516">
        <v>554</v>
      </c>
      <c r="Q516" t="s">
        <v>1407</v>
      </c>
      <c r="R516">
        <v>2</v>
      </c>
      <c r="Z516" s="1" t="s">
        <v>1408</v>
      </c>
    </row>
    <row r="517" spans="16:26" ht="12.75" hidden="1">
      <c r="P517">
        <v>555</v>
      </c>
      <c r="Q517" t="s">
        <v>1409</v>
      </c>
      <c r="R517">
        <v>3</v>
      </c>
      <c r="Z517" s="1" t="s">
        <v>1410</v>
      </c>
    </row>
    <row r="518" spans="16:26" ht="12.75" hidden="1">
      <c r="P518">
        <v>556</v>
      </c>
      <c r="Q518" t="s">
        <v>1411</v>
      </c>
      <c r="R518">
        <v>4</v>
      </c>
      <c r="Z518" s="1" t="s">
        <v>1412</v>
      </c>
    </row>
    <row r="519" spans="16:26" ht="12.75" hidden="1">
      <c r="P519">
        <v>557</v>
      </c>
      <c r="Q519" t="s">
        <v>1413</v>
      </c>
      <c r="R519">
        <v>4</v>
      </c>
      <c r="Z519" s="1" t="s">
        <v>1414</v>
      </c>
    </row>
    <row r="520" spans="16:26" ht="12.75" hidden="1">
      <c r="P520">
        <v>558</v>
      </c>
      <c r="Q520" t="s">
        <v>1415</v>
      </c>
      <c r="R520">
        <v>5</v>
      </c>
      <c r="Z520" s="1" t="s">
        <v>1416</v>
      </c>
    </row>
    <row r="521" spans="16:26" ht="12.75" hidden="1">
      <c r="P521">
        <v>559</v>
      </c>
      <c r="Q521" t="s">
        <v>1417</v>
      </c>
      <c r="R521">
        <v>6</v>
      </c>
      <c r="Z521" s="1" t="s">
        <v>1418</v>
      </c>
    </row>
    <row r="522" spans="16:26" ht="12.75" hidden="1">
      <c r="P522">
        <v>560</v>
      </c>
      <c r="Q522" t="s">
        <v>1419</v>
      </c>
      <c r="R522">
        <v>6</v>
      </c>
      <c r="Z522" s="1" t="s">
        <v>1420</v>
      </c>
    </row>
    <row r="523" spans="16:26" ht="12.75" hidden="1">
      <c r="P523">
        <v>561</v>
      </c>
      <c r="Q523" t="s">
        <v>1421</v>
      </c>
      <c r="R523">
        <v>6</v>
      </c>
      <c r="Z523" s="1" t="s">
        <v>1422</v>
      </c>
    </row>
    <row r="524" spans="16:26" ht="12.75" hidden="1">
      <c r="P524">
        <v>562</v>
      </c>
      <c r="Q524" t="s">
        <v>1423</v>
      </c>
      <c r="R524">
        <v>7</v>
      </c>
      <c r="Z524" s="1" t="s">
        <v>1424</v>
      </c>
    </row>
    <row r="525" spans="16:26" ht="12.75" hidden="1">
      <c r="P525">
        <v>564</v>
      </c>
      <c r="Q525" t="s">
        <v>1425</v>
      </c>
      <c r="R525">
        <v>7</v>
      </c>
      <c r="Z525" s="1" t="s">
        <v>1426</v>
      </c>
    </row>
    <row r="526" spans="16:26" ht="12.75" hidden="1">
      <c r="P526">
        <v>565</v>
      </c>
      <c r="Q526" t="s">
        <v>1427</v>
      </c>
      <c r="R526">
        <v>7</v>
      </c>
      <c r="Z526" s="1" t="s">
        <v>1428</v>
      </c>
    </row>
    <row r="527" spans="16:26" ht="12.75" hidden="1">
      <c r="P527">
        <v>566</v>
      </c>
      <c r="Q527" t="s">
        <v>1429</v>
      </c>
      <c r="R527">
        <v>7</v>
      </c>
      <c r="Z527" s="1" t="s">
        <v>1430</v>
      </c>
    </row>
    <row r="528" spans="16:26" ht="12.75" hidden="1">
      <c r="P528">
        <v>567</v>
      </c>
      <c r="Q528" t="s">
        <v>1431</v>
      </c>
      <c r="R528">
        <v>12</v>
      </c>
      <c r="Z528" s="1" t="s">
        <v>1432</v>
      </c>
    </row>
    <row r="529" spans="16:26" ht="12.75" hidden="1">
      <c r="P529">
        <v>568</v>
      </c>
      <c r="Q529" t="s">
        <v>1433</v>
      </c>
      <c r="R529">
        <v>12</v>
      </c>
      <c r="Z529" s="1" t="s">
        <v>1434</v>
      </c>
    </row>
    <row r="530" spans="16:26" ht="12.75" hidden="1">
      <c r="P530">
        <v>569</v>
      </c>
      <c r="Q530" t="s">
        <v>1435</v>
      </c>
      <c r="R530">
        <v>12</v>
      </c>
      <c r="Z530" s="1" t="s">
        <v>1436</v>
      </c>
    </row>
    <row r="531" spans="16:26" ht="12.75" hidden="1">
      <c r="P531">
        <v>570</v>
      </c>
      <c r="Q531" t="s">
        <v>1437</v>
      </c>
      <c r="R531">
        <v>12</v>
      </c>
      <c r="Z531" s="1" t="s">
        <v>1438</v>
      </c>
    </row>
    <row r="532" spans="16:26" ht="12.75" hidden="1">
      <c r="P532">
        <v>571</v>
      </c>
      <c r="Q532" t="s">
        <v>1439</v>
      </c>
      <c r="R532">
        <v>13</v>
      </c>
      <c r="Z532" s="1" t="s">
        <v>1440</v>
      </c>
    </row>
    <row r="533" spans="16:26" ht="12.75" hidden="1">
      <c r="P533">
        <v>572</v>
      </c>
      <c r="Q533" t="s">
        <v>1441</v>
      </c>
      <c r="R533">
        <v>13</v>
      </c>
      <c r="Z533" s="1" t="s">
        <v>1442</v>
      </c>
    </row>
    <row r="534" spans="16:26" ht="12.75" hidden="1">
      <c r="P534">
        <v>573</v>
      </c>
      <c r="Q534" t="s">
        <v>1443</v>
      </c>
      <c r="R534">
        <v>13</v>
      </c>
      <c r="Z534" s="1" t="s">
        <v>1444</v>
      </c>
    </row>
    <row r="535" spans="16:26" ht="12.75" hidden="1">
      <c r="P535">
        <v>574</v>
      </c>
      <c r="Q535" t="s">
        <v>1445</v>
      </c>
      <c r="R535">
        <v>13</v>
      </c>
      <c r="Z535" s="1" t="s">
        <v>1446</v>
      </c>
    </row>
    <row r="536" spans="16:26" ht="12.75" hidden="1">
      <c r="P536">
        <v>575</v>
      </c>
      <c r="Q536" t="s">
        <v>1447</v>
      </c>
      <c r="R536">
        <v>13</v>
      </c>
      <c r="Z536" s="1" t="s">
        <v>1448</v>
      </c>
    </row>
    <row r="537" spans="16:26" ht="12.75" hidden="1">
      <c r="P537">
        <v>576</v>
      </c>
      <c r="Q537" t="s">
        <v>1449</v>
      </c>
      <c r="R537">
        <v>14</v>
      </c>
      <c r="Z537" s="1" t="s">
        <v>1450</v>
      </c>
    </row>
    <row r="538" spans="16:26" ht="12.75" hidden="1">
      <c r="P538">
        <v>578</v>
      </c>
      <c r="Q538" t="s">
        <v>1451</v>
      </c>
      <c r="R538">
        <v>14</v>
      </c>
      <c r="Z538" s="1" t="s">
        <v>1452</v>
      </c>
    </row>
    <row r="539" spans="16:26" ht="12.75" hidden="1">
      <c r="P539">
        <v>579</v>
      </c>
      <c r="Q539" t="s">
        <v>1453</v>
      </c>
      <c r="R539">
        <v>14</v>
      </c>
      <c r="Z539" s="1" t="s">
        <v>1454</v>
      </c>
    </row>
    <row r="540" spans="16:26" ht="12.75" hidden="1">
      <c r="P540">
        <v>581</v>
      </c>
      <c r="Q540" t="s">
        <v>1455</v>
      </c>
      <c r="R540">
        <v>15</v>
      </c>
      <c r="Z540" s="1" t="s">
        <v>1456</v>
      </c>
    </row>
    <row r="541" spans="16:26" ht="12.75" hidden="1">
      <c r="P541">
        <v>582</v>
      </c>
      <c r="Q541" t="s">
        <v>1457</v>
      </c>
      <c r="R541">
        <v>15</v>
      </c>
      <c r="Z541" s="1" t="s">
        <v>1458</v>
      </c>
    </row>
    <row r="542" spans="16:26" ht="12.75" hidden="1">
      <c r="P542">
        <v>583</v>
      </c>
      <c r="Q542" t="s">
        <v>1445</v>
      </c>
      <c r="R542">
        <v>16</v>
      </c>
      <c r="Z542" s="1" t="s">
        <v>1459</v>
      </c>
    </row>
    <row r="543" spans="16:26" ht="12.75" hidden="1">
      <c r="P543">
        <v>584</v>
      </c>
      <c r="Q543" t="s">
        <v>1460</v>
      </c>
      <c r="R543">
        <v>16</v>
      </c>
      <c r="Z543" s="1" t="s">
        <v>1461</v>
      </c>
    </row>
    <row r="544" spans="16:26" ht="12.75" hidden="1">
      <c r="P544">
        <v>585</v>
      </c>
      <c r="Q544" t="s">
        <v>1462</v>
      </c>
      <c r="R544">
        <v>17</v>
      </c>
      <c r="Z544" s="1" t="s">
        <v>1463</v>
      </c>
    </row>
    <row r="545" spans="16:26" ht="12.75" hidden="1">
      <c r="P545">
        <v>586</v>
      </c>
      <c r="Q545" t="s">
        <v>1464</v>
      </c>
      <c r="R545">
        <v>17</v>
      </c>
      <c r="Z545" s="1" t="s">
        <v>1465</v>
      </c>
    </row>
    <row r="546" spans="16:26" ht="12.75" hidden="1">
      <c r="P546">
        <v>587</v>
      </c>
      <c r="Q546" t="s">
        <v>1466</v>
      </c>
      <c r="R546">
        <v>17</v>
      </c>
      <c r="Z546" s="1" t="s">
        <v>1467</v>
      </c>
    </row>
    <row r="547" spans="16:26" ht="12.75" hidden="1">
      <c r="P547">
        <v>588</v>
      </c>
      <c r="Q547" t="s">
        <v>1468</v>
      </c>
      <c r="R547">
        <v>17</v>
      </c>
      <c r="Z547" s="1" t="s">
        <v>1469</v>
      </c>
    </row>
    <row r="548" spans="16:26" ht="12.75" hidden="1">
      <c r="P548">
        <v>589</v>
      </c>
      <c r="Q548" t="s">
        <v>1470</v>
      </c>
      <c r="R548">
        <v>17</v>
      </c>
      <c r="Z548" s="1" t="s">
        <v>1471</v>
      </c>
    </row>
    <row r="549" spans="16:26" ht="12.75" hidden="1">
      <c r="P549">
        <v>590</v>
      </c>
      <c r="Q549" t="s">
        <v>1472</v>
      </c>
      <c r="R549">
        <v>17</v>
      </c>
      <c r="Z549" s="1" t="s">
        <v>1473</v>
      </c>
    </row>
    <row r="550" spans="16:26" ht="12.75" hidden="1">
      <c r="P550">
        <v>591</v>
      </c>
      <c r="Q550" t="s">
        <v>1474</v>
      </c>
      <c r="R550">
        <v>17</v>
      </c>
      <c r="Z550" s="1" t="s">
        <v>1475</v>
      </c>
    </row>
    <row r="551" spans="16:26" ht="12.75" hidden="1">
      <c r="P551">
        <v>592</v>
      </c>
      <c r="Q551" t="s">
        <v>1476</v>
      </c>
      <c r="R551">
        <v>17</v>
      </c>
      <c r="Z551" s="1" t="s">
        <v>1477</v>
      </c>
    </row>
    <row r="552" spans="16:26" ht="12.75" hidden="1">
      <c r="P552">
        <v>593</v>
      </c>
      <c r="Q552" t="s">
        <v>1478</v>
      </c>
      <c r="R552">
        <v>17</v>
      </c>
      <c r="Z552" s="1" t="s">
        <v>1479</v>
      </c>
    </row>
    <row r="553" spans="16:26" ht="12.75" hidden="1">
      <c r="P553">
        <v>595</v>
      </c>
      <c r="Q553" t="s">
        <v>1480</v>
      </c>
      <c r="R553">
        <v>17</v>
      </c>
      <c r="Z553" s="1" t="s">
        <v>1481</v>
      </c>
    </row>
    <row r="554" spans="16:26" ht="12.75" hidden="1">
      <c r="P554">
        <v>596</v>
      </c>
      <c r="Q554" t="s">
        <v>1482</v>
      </c>
      <c r="R554">
        <v>18</v>
      </c>
      <c r="Z554" s="1" t="s">
        <v>1483</v>
      </c>
    </row>
    <row r="555" spans="16:26" ht="12.75" hidden="1">
      <c r="P555">
        <v>597</v>
      </c>
      <c r="Q555" t="s">
        <v>1484</v>
      </c>
      <c r="R555">
        <v>18</v>
      </c>
      <c r="Z555" s="1" t="s">
        <v>1485</v>
      </c>
    </row>
    <row r="556" spans="16:26" ht="12.75" hidden="1">
      <c r="P556">
        <v>598</v>
      </c>
      <c r="Q556" t="s">
        <v>1486</v>
      </c>
      <c r="R556">
        <v>19</v>
      </c>
      <c r="Z556" s="1" t="s">
        <v>1487</v>
      </c>
    </row>
    <row r="557" spans="16:26" ht="12.75" hidden="1">
      <c r="P557">
        <v>599</v>
      </c>
      <c r="Q557" t="s">
        <v>1488</v>
      </c>
      <c r="R557">
        <v>19</v>
      </c>
      <c r="Z557" s="1" t="s">
        <v>1489</v>
      </c>
    </row>
    <row r="558" spans="16:26" ht="12.75" hidden="1">
      <c r="P558">
        <v>600</v>
      </c>
      <c r="Q558" t="s">
        <v>1490</v>
      </c>
      <c r="R558">
        <v>19</v>
      </c>
      <c r="Z558" s="1" t="s">
        <v>1491</v>
      </c>
    </row>
    <row r="559" spans="16:26" ht="12.75" hidden="1">
      <c r="P559">
        <v>601</v>
      </c>
      <c r="Q559" t="s">
        <v>1492</v>
      </c>
      <c r="R559">
        <v>19</v>
      </c>
      <c r="Z559" s="1" t="s">
        <v>1493</v>
      </c>
    </row>
    <row r="560" spans="16:26" ht="12.75" hidden="1">
      <c r="P560">
        <v>602</v>
      </c>
      <c r="Q560" t="s">
        <v>1494</v>
      </c>
      <c r="R560">
        <v>19</v>
      </c>
      <c r="Z560" s="1" t="s">
        <v>1495</v>
      </c>
    </row>
    <row r="561" spans="16:26" ht="12.75" hidden="1">
      <c r="P561">
        <v>603</v>
      </c>
      <c r="Q561" t="s">
        <v>1496</v>
      </c>
      <c r="R561">
        <v>20</v>
      </c>
      <c r="Z561" s="1" t="s">
        <v>1497</v>
      </c>
    </row>
    <row r="562" spans="16:26" ht="12.75" hidden="1">
      <c r="P562">
        <v>604</v>
      </c>
      <c r="Q562" t="s">
        <v>1498</v>
      </c>
      <c r="R562">
        <v>20</v>
      </c>
      <c r="Z562" s="1" t="s">
        <v>1499</v>
      </c>
    </row>
    <row r="563" spans="16:26" ht="12.75" hidden="1">
      <c r="P563">
        <v>605</v>
      </c>
      <c r="Q563" t="s">
        <v>1500</v>
      </c>
      <c r="R563">
        <v>20</v>
      </c>
      <c r="Z563" s="1" t="s">
        <v>1501</v>
      </c>
    </row>
    <row r="564" spans="16:26" ht="12.75" hidden="1">
      <c r="P564">
        <v>606</v>
      </c>
      <c r="Q564" t="s">
        <v>1502</v>
      </c>
      <c r="R564">
        <v>20</v>
      </c>
      <c r="Z564" s="1" t="s">
        <v>1503</v>
      </c>
    </row>
    <row r="565" spans="16:26" ht="12.75" hidden="1">
      <c r="P565">
        <v>607</v>
      </c>
      <c r="Q565" t="s">
        <v>1504</v>
      </c>
      <c r="R565">
        <v>20</v>
      </c>
      <c r="Z565" s="1" t="s">
        <v>1505</v>
      </c>
    </row>
    <row r="566" spans="16:26" ht="12.75" hidden="1">
      <c r="P566">
        <v>608</v>
      </c>
      <c r="Q566" t="s">
        <v>1506</v>
      </c>
      <c r="R566">
        <v>20</v>
      </c>
      <c r="Z566" s="1" t="s">
        <v>1507</v>
      </c>
    </row>
    <row r="567" spans="16:26" ht="12.75" hidden="1">
      <c r="P567">
        <v>609</v>
      </c>
      <c r="Q567" t="s">
        <v>1508</v>
      </c>
      <c r="R567">
        <v>14</v>
      </c>
      <c r="Z567" s="1" t="s">
        <v>1509</v>
      </c>
    </row>
    <row r="568" spans="16:26" ht="12.75" hidden="1">
      <c r="P568">
        <v>610</v>
      </c>
      <c r="Q568" t="s">
        <v>1510</v>
      </c>
      <c r="R568">
        <v>16</v>
      </c>
      <c r="Z568" s="1" t="s">
        <v>1511</v>
      </c>
    </row>
    <row r="569" spans="16:26" ht="12.75" hidden="1">
      <c r="P569">
        <v>612</v>
      </c>
      <c r="Q569" t="s">
        <v>1512</v>
      </c>
      <c r="R569">
        <v>16</v>
      </c>
      <c r="Z569" s="1" t="s">
        <v>1513</v>
      </c>
    </row>
    <row r="570" spans="16:26" ht="12.75" hidden="1">
      <c r="P570">
        <v>614</v>
      </c>
      <c r="Q570" t="s">
        <v>1514</v>
      </c>
      <c r="R570">
        <v>14</v>
      </c>
      <c r="Z570" s="1" t="s">
        <v>1515</v>
      </c>
    </row>
    <row r="571" spans="16:26" ht="12.75" hidden="1">
      <c r="P571">
        <v>616</v>
      </c>
      <c r="Q571" t="s">
        <v>1516</v>
      </c>
      <c r="R571">
        <v>6</v>
      </c>
      <c r="Z571" s="1" t="s">
        <v>1517</v>
      </c>
    </row>
    <row r="572" spans="16:26" ht="12.75" hidden="1">
      <c r="P572">
        <v>617</v>
      </c>
      <c r="Q572" t="s">
        <v>1518</v>
      </c>
      <c r="R572">
        <v>15</v>
      </c>
      <c r="Z572" s="1" t="s">
        <v>1519</v>
      </c>
    </row>
    <row r="573" spans="16:26" ht="12.75" hidden="1">
      <c r="P573">
        <v>618</v>
      </c>
      <c r="Q573" t="s">
        <v>1520</v>
      </c>
      <c r="R573">
        <v>6</v>
      </c>
      <c r="Z573" s="1" t="s">
        <v>1521</v>
      </c>
    </row>
    <row r="574" spans="16:26" ht="12.75" hidden="1">
      <c r="P574">
        <v>619</v>
      </c>
      <c r="Q574" t="s">
        <v>1522</v>
      </c>
      <c r="R574">
        <v>18</v>
      </c>
      <c r="Z574" s="1" t="s">
        <v>1523</v>
      </c>
    </row>
    <row r="575" spans="16:26" ht="12.75" hidden="1">
      <c r="P575">
        <v>620</v>
      </c>
      <c r="Q575" t="s">
        <v>1524</v>
      </c>
      <c r="R575">
        <v>20</v>
      </c>
      <c r="Z575" s="1" t="s">
        <v>1525</v>
      </c>
    </row>
    <row r="576" spans="16:26" ht="12.75" hidden="1">
      <c r="P576">
        <v>621</v>
      </c>
      <c r="Q576" t="s">
        <v>1526</v>
      </c>
      <c r="R576">
        <v>15</v>
      </c>
      <c r="Z576" s="1" t="s">
        <v>1527</v>
      </c>
    </row>
    <row r="577" spans="16:26" ht="12.75" hidden="1">
      <c r="P577">
        <v>622</v>
      </c>
      <c r="Q577" t="s">
        <v>1528</v>
      </c>
      <c r="R577">
        <v>13</v>
      </c>
      <c r="Z577" s="1" t="s">
        <v>1529</v>
      </c>
    </row>
    <row r="578" spans="16:26" ht="12.75" hidden="1">
      <c r="P578">
        <v>623</v>
      </c>
      <c r="Q578" t="s">
        <v>1530</v>
      </c>
      <c r="R578">
        <v>4</v>
      </c>
      <c r="Z578" s="1" t="s">
        <v>1531</v>
      </c>
    </row>
    <row r="579" spans="16:26" ht="12.75" hidden="1">
      <c r="P579">
        <v>624</v>
      </c>
      <c r="Q579" t="s">
        <v>1532</v>
      </c>
      <c r="R579">
        <v>8</v>
      </c>
      <c r="Z579" s="1" t="s">
        <v>1533</v>
      </c>
    </row>
    <row r="580" spans="16:26" ht="12.75" hidden="1">
      <c r="P580">
        <v>625</v>
      </c>
      <c r="Q580" t="s">
        <v>1534</v>
      </c>
      <c r="R580">
        <v>13</v>
      </c>
      <c r="Z580" s="1" t="s">
        <v>1535</v>
      </c>
    </row>
    <row r="581" spans="16:26" ht="12.75" hidden="1">
      <c r="P581">
        <v>626</v>
      </c>
      <c r="Q581" t="s">
        <v>1536</v>
      </c>
      <c r="R581">
        <v>15</v>
      </c>
      <c r="Z581" s="1" t="s">
        <v>1537</v>
      </c>
    </row>
    <row r="582" spans="16:26" ht="12.75" hidden="1">
      <c r="P582">
        <v>628</v>
      </c>
      <c r="Q582" t="s">
        <v>1538</v>
      </c>
      <c r="R582">
        <v>16</v>
      </c>
      <c r="Z582" s="1" t="s">
        <v>1539</v>
      </c>
    </row>
    <row r="583" spans="16:26" ht="12.75" hidden="1">
      <c r="P583">
        <v>629</v>
      </c>
      <c r="Q583" t="s">
        <v>1540</v>
      </c>
      <c r="R583">
        <v>18</v>
      </c>
      <c r="Z583" s="1" t="s">
        <v>1541</v>
      </c>
    </row>
    <row r="584" spans="16:26" ht="12.75" hidden="1">
      <c r="P584">
        <v>631</v>
      </c>
      <c r="Q584" t="s">
        <v>1542</v>
      </c>
      <c r="R584">
        <v>18</v>
      </c>
      <c r="Z584" s="1" t="s">
        <v>1543</v>
      </c>
    </row>
    <row r="585" ht="12.75" hidden="1">
      <c r="Z585" s="1" t="s">
        <v>1544</v>
      </c>
    </row>
    <row r="586" ht="12.75" hidden="1">
      <c r="Z586" s="1" t="s">
        <v>1545</v>
      </c>
    </row>
    <row r="587" ht="12.75" hidden="1">
      <c r="Z587" s="1" t="s">
        <v>1546</v>
      </c>
    </row>
    <row r="588" ht="12.75" hidden="1">
      <c r="Z588" s="1" t="s">
        <v>1547</v>
      </c>
    </row>
    <row r="589" ht="12.75" hidden="1">
      <c r="Z589" s="1" t="s">
        <v>1548</v>
      </c>
    </row>
    <row r="590" ht="12.75" hidden="1">
      <c r="Z590" s="1" t="s">
        <v>1549</v>
      </c>
    </row>
    <row r="591" ht="12.75" hidden="1">
      <c r="Z591" s="1" t="s">
        <v>1550</v>
      </c>
    </row>
    <row r="592" ht="12.75" hidden="1">
      <c r="Z592" s="1" t="s">
        <v>1551</v>
      </c>
    </row>
    <row r="593" ht="12.75" hidden="1">
      <c r="Z593" s="1" t="s">
        <v>1552</v>
      </c>
    </row>
    <row r="594" ht="12.75" hidden="1">
      <c r="Z594" s="1" t="s">
        <v>1553</v>
      </c>
    </row>
    <row r="595" ht="12.75" hidden="1">
      <c r="Z595" s="1" t="s">
        <v>1554</v>
      </c>
    </row>
    <row r="596" ht="12.75" hidden="1">
      <c r="Z596" s="1" t="s">
        <v>1555</v>
      </c>
    </row>
    <row r="597" ht="12.75" hidden="1">
      <c r="Z597" s="1" t="s">
        <v>1556</v>
      </c>
    </row>
    <row r="598" ht="12.75" hidden="1">
      <c r="Z598" s="1" t="s">
        <v>1557</v>
      </c>
    </row>
    <row r="599" ht="12.75" hidden="1">
      <c r="Z599" s="1" t="s">
        <v>1558</v>
      </c>
    </row>
    <row r="600" ht="12.75" hidden="1">
      <c r="Z600" s="1" t="s">
        <v>1559</v>
      </c>
    </row>
    <row r="601" ht="12.75" hidden="1">
      <c r="Z601" s="1" t="s">
        <v>1560</v>
      </c>
    </row>
    <row r="602" ht="12.75" hidden="1">
      <c r="Z602" s="1" t="s">
        <v>1561</v>
      </c>
    </row>
    <row r="603" ht="12.75" hidden="1">
      <c r="Z603" s="1" t="s">
        <v>1562</v>
      </c>
    </row>
    <row r="604" ht="12.75" hidden="1">
      <c r="Z604" s="1" t="s">
        <v>1563</v>
      </c>
    </row>
    <row r="605" ht="12.75" hidden="1">
      <c r="Z605" s="1" t="s">
        <v>1564</v>
      </c>
    </row>
    <row r="606" ht="12.75" hidden="1">
      <c r="Z606" s="1" t="s">
        <v>1565</v>
      </c>
    </row>
    <row r="607" ht="12.75" hidden="1">
      <c r="Z607" s="1" t="s">
        <v>1566</v>
      </c>
    </row>
    <row r="608" ht="12.75" hidden="1">
      <c r="Z608" s="1" t="s">
        <v>1567</v>
      </c>
    </row>
    <row r="609" ht="12.75" hidden="1">
      <c r="Z609" s="1" t="s">
        <v>1568</v>
      </c>
    </row>
    <row r="610" ht="12.75" hidden="1">
      <c r="Z610" s="1" t="s">
        <v>1569</v>
      </c>
    </row>
    <row r="611" ht="12.75" hidden="1">
      <c r="Z611" s="1" t="s">
        <v>1570</v>
      </c>
    </row>
    <row r="612" ht="12.75" hidden="1">
      <c r="Z612" s="1" t="s">
        <v>1571</v>
      </c>
    </row>
    <row r="613" ht="12.75" hidden="1">
      <c r="Z613" s="1" t="s">
        <v>1572</v>
      </c>
    </row>
    <row r="614" ht="12.75" hidden="1">
      <c r="Z614" s="1" t="s">
        <v>1573</v>
      </c>
    </row>
    <row r="615" ht="12.75" hidden="1">
      <c r="Z615" s="1" t="s">
        <v>1574</v>
      </c>
    </row>
    <row r="616" ht="12.75" hidden="1">
      <c r="Z616" s="1" t="s">
        <v>1575</v>
      </c>
    </row>
    <row r="617" ht="12.75" hidden="1">
      <c r="Z617" s="1" t="s">
        <v>1576</v>
      </c>
    </row>
    <row r="618" ht="12.75" hidden="1">
      <c r="Z618" s="1" t="s">
        <v>1577</v>
      </c>
    </row>
    <row r="619" ht="12.75" hidden="1">
      <c r="Z619" s="1" t="s">
        <v>1578</v>
      </c>
    </row>
    <row r="620" ht="12.75" hidden="1">
      <c r="Z620" s="1" t="s">
        <v>1579</v>
      </c>
    </row>
    <row r="621" ht="12.75" hidden="1">
      <c r="Z621" s="1" t="s">
        <v>1580</v>
      </c>
    </row>
    <row r="622" ht="12.75" hidden="1">
      <c r="Z622" s="1" t="s">
        <v>1581</v>
      </c>
    </row>
    <row r="623" ht="12.75" hidden="1">
      <c r="Z623" s="1" t="s">
        <v>1582</v>
      </c>
    </row>
    <row r="624" ht="12.75" hidden="1">
      <c r="Z624" s="1" t="s">
        <v>1583</v>
      </c>
    </row>
    <row r="625" ht="12.75" hidden="1">
      <c r="Z625" s="1" t="s">
        <v>1584</v>
      </c>
    </row>
    <row r="626" ht="12.75" hidden="1">
      <c r="Z626" s="1" t="s">
        <v>1585</v>
      </c>
    </row>
    <row r="627" ht="12.75" hidden="1">
      <c r="Z627" s="1" t="s">
        <v>1586</v>
      </c>
    </row>
    <row r="628" ht="12.75" hidden="1">
      <c r="Z628" s="1" t="s">
        <v>1587</v>
      </c>
    </row>
    <row r="629" ht="12.75" hidden="1">
      <c r="Z629" s="1" t="s">
        <v>1588</v>
      </c>
    </row>
    <row r="630" ht="12.75" hidden="1">
      <c r="Z630" s="1" t="s">
        <v>1589</v>
      </c>
    </row>
    <row r="631" ht="12.75" hidden="1">
      <c r="Z631" s="1" t="s">
        <v>1590</v>
      </c>
    </row>
    <row r="632" ht="12.75" hidden="1">
      <c r="Z632" s="1" t="s">
        <v>1591</v>
      </c>
    </row>
    <row r="633" ht="12.75" hidden="1">
      <c r="Z633" s="1" t="s">
        <v>1592</v>
      </c>
    </row>
    <row r="634" ht="12.75" hidden="1">
      <c r="Z634" s="1" t="s">
        <v>1593</v>
      </c>
    </row>
    <row r="635" ht="12.75" hidden="1">
      <c r="Z635" s="1" t="s">
        <v>1594</v>
      </c>
    </row>
    <row r="636" ht="12.75" hidden="1">
      <c r="Z636" s="1" t="s">
        <v>1595</v>
      </c>
    </row>
    <row r="637" ht="12.75" hidden="1">
      <c r="Z637" s="1" t="s">
        <v>1596</v>
      </c>
    </row>
    <row r="638" ht="12.75" hidden="1">
      <c r="Z638" s="1" t="s">
        <v>1597</v>
      </c>
    </row>
    <row r="639" ht="12.75" hidden="1">
      <c r="Z639" s="1" t="s">
        <v>1598</v>
      </c>
    </row>
    <row r="640" ht="12.75" hidden="1">
      <c r="Z640" s="1" t="s">
        <v>1599</v>
      </c>
    </row>
    <row r="641" ht="12.75" hidden="1">
      <c r="Z641" s="1" t="s">
        <v>1600</v>
      </c>
    </row>
    <row r="642" ht="12.75" hidden="1">
      <c r="Z642" s="1" t="s">
        <v>1601</v>
      </c>
    </row>
    <row r="643" ht="12.75" hidden="1">
      <c r="Z643" s="1" t="s">
        <v>1602</v>
      </c>
    </row>
    <row r="644" ht="12.75" hidden="1">
      <c r="Z644" s="1" t="s">
        <v>1603</v>
      </c>
    </row>
  </sheetData>
  <sheetProtection sheet="1" objects="1" scenarios="1"/>
  <mergeCells count="96">
    <mergeCell ref="C72:H72"/>
    <mergeCell ref="H74:L74"/>
    <mergeCell ref="A67:B67"/>
    <mergeCell ref="C67:E67"/>
    <mergeCell ref="H67:J67"/>
    <mergeCell ref="A69:B69"/>
    <mergeCell ref="C69:J69"/>
    <mergeCell ref="A71:B71"/>
    <mergeCell ref="C71:H71"/>
    <mergeCell ref="A63:B63"/>
    <mergeCell ref="C63:D63"/>
    <mergeCell ref="F63:N63"/>
    <mergeCell ref="C64:D64"/>
    <mergeCell ref="F64:G64"/>
    <mergeCell ref="A65:B65"/>
    <mergeCell ref="C65:J65"/>
    <mergeCell ref="A61:F61"/>
    <mergeCell ref="G61:H61"/>
    <mergeCell ref="J61:K61"/>
    <mergeCell ref="M61:N61"/>
    <mergeCell ref="C62:D62"/>
    <mergeCell ref="F62:G62"/>
    <mergeCell ref="A59:F59"/>
    <mergeCell ref="G59:H59"/>
    <mergeCell ref="J59:K59"/>
    <mergeCell ref="M59:N59"/>
    <mergeCell ref="G60:H60"/>
    <mergeCell ref="M60:N60"/>
    <mergeCell ref="A55:B56"/>
    <mergeCell ref="I55:N56"/>
    <mergeCell ref="C56:D56"/>
    <mergeCell ref="E56:F56"/>
    <mergeCell ref="A57:B57"/>
    <mergeCell ref="I57:N58"/>
    <mergeCell ref="A51:B51"/>
    <mergeCell ref="I51:N52"/>
    <mergeCell ref="A53:B54"/>
    <mergeCell ref="I53:N54"/>
    <mergeCell ref="C54:D54"/>
    <mergeCell ref="E54:F54"/>
    <mergeCell ref="A47:B47"/>
    <mergeCell ref="D47:G48"/>
    <mergeCell ref="I47:N48"/>
    <mergeCell ref="A49:B49"/>
    <mergeCell ref="D49:G50"/>
    <mergeCell ref="I49:N50"/>
    <mergeCell ref="A43:B43"/>
    <mergeCell ref="E43:F43"/>
    <mergeCell ref="I43:N44"/>
    <mergeCell ref="A45:B45"/>
    <mergeCell ref="D45:G46"/>
    <mergeCell ref="I45:N46"/>
    <mergeCell ref="A35:B35"/>
    <mergeCell ref="D35:G35"/>
    <mergeCell ref="A37:B37"/>
    <mergeCell ref="D37:G37"/>
    <mergeCell ref="H37:J37"/>
    <mergeCell ref="A39:B39"/>
    <mergeCell ref="D39:G41"/>
    <mergeCell ref="I39:N40"/>
    <mergeCell ref="A41:B41"/>
    <mergeCell ref="I41:N42"/>
    <mergeCell ref="A29:B29"/>
    <mergeCell ref="C29:L29"/>
    <mergeCell ref="A31:B31"/>
    <mergeCell ref="C31:J31"/>
    <mergeCell ref="A33:B33"/>
    <mergeCell ref="C33:J33"/>
    <mergeCell ref="F22:N24"/>
    <mergeCell ref="A23:B24"/>
    <mergeCell ref="C23:D23"/>
    <mergeCell ref="A25:B25"/>
    <mergeCell ref="C25:L25"/>
    <mergeCell ref="A27:B27"/>
    <mergeCell ref="C27:D27"/>
    <mergeCell ref="F27:L27"/>
    <mergeCell ref="A16:C16"/>
    <mergeCell ref="A17:B17"/>
    <mergeCell ref="E17:I21"/>
    <mergeCell ref="J18:N20"/>
    <mergeCell ref="A19:B19"/>
    <mergeCell ref="C19:D19"/>
    <mergeCell ref="A21:B21"/>
    <mergeCell ref="C21:D21"/>
    <mergeCell ref="F9:N9"/>
    <mergeCell ref="K12:N12"/>
    <mergeCell ref="A13:N13"/>
    <mergeCell ref="H14:J14"/>
    <mergeCell ref="A15:C15"/>
    <mergeCell ref="F15:H15"/>
    <mergeCell ref="A1:B2"/>
    <mergeCell ref="A3:N3"/>
    <mergeCell ref="A5:D5"/>
    <mergeCell ref="E5:F5"/>
    <mergeCell ref="H5:I5"/>
    <mergeCell ref="J5:N7"/>
  </mergeCells>
  <conditionalFormatting sqref="H39 H41 H43 H45 H47 H49 H51 H53 H55 H57">
    <cfRule type="cellIs" priority="1" dxfId="4" operator="equal" stopIfTrue="1">
      <formula>"DA"</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ErrorMessage="1" sqref="H43">
      <formula1>"DA,NE"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$Z$29:$Z$644</formula1>
      <formula2>0</formula2>
    </dataValidation>
    <dataValidation type="list" allowBlank="1" showErrorMessage="1" sqref="E9">
      <formula1>$AB$29:$AB$45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31" r:id="rId1" display="stambeno.komunalno.gospodarstvo@ka.t-com.hr"/>
    <hyperlink ref="C33" r:id="rId2" display="www.skg.ogulin"/>
    <hyperlink ref="C69" r:id="rId3" display="vesna.cindric@skg-ogulin.hr"/>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31" customWidth="1"/>
    <col min="4" max="4" width="9.7109375" style="131" customWidth="1"/>
    <col min="5" max="8" width="7.7109375" style="131" customWidth="1"/>
    <col min="9" max="9" width="5.7109375" style="132" customWidth="1"/>
    <col min="10" max="10" width="7.7109375" style="132" customWidth="1"/>
    <col min="11" max="12" width="14.7109375" style="72" customWidth="1"/>
    <col min="13" max="13" width="0.85546875" style="72" customWidth="1"/>
    <col min="14" max="16384" width="0" style="72" hidden="1" customWidth="1"/>
  </cols>
  <sheetData>
    <row r="1" spans="1:18" ht="19.5" customHeight="1">
      <c r="A1" s="258" t="s">
        <v>97</v>
      </c>
      <c r="B1" s="258"/>
      <c r="C1" s="29" t="s">
        <v>98</v>
      </c>
      <c r="D1" s="30" t="s">
        <v>99</v>
      </c>
      <c r="E1" s="30" t="s">
        <v>93</v>
      </c>
      <c r="F1" s="31" t="s">
        <v>100</v>
      </c>
      <c r="G1" s="30" t="s">
        <v>101</v>
      </c>
      <c r="H1" s="31" t="s">
        <v>102</v>
      </c>
      <c r="I1" s="30" t="s">
        <v>104</v>
      </c>
      <c r="J1" s="32"/>
      <c r="K1" s="133"/>
      <c r="Q1" s="72">
        <f>IF(OR(MIN(K10:L122)&lt;0,MAX(K10:L122)&gt;0),1,0)</f>
        <v>1</v>
      </c>
      <c r="R1" s="72" t="s">
        <v>1604</v>
      </c>
    </row>
    <row r="2" spans="1:18" ht="19.5" customHeight="1">
      <c r="A2" s="258"/>
      <c r="B2" s="258"/>
      <c r="C2" s="33" t="s">
        <v>105</v>
      </c>
      <c r="D2" s="34" t="s">
        <v>106</v>
      </c>
      <c r="E2" s="34" t="s">
        <v>107</v>
      </c>
      <c r="F2" s="34" t="s">
        <v>108</v>
      </c>
      <c r="G2" s="34" t="s">
        <v>109</v>
      </c>
      <c r="H2" s="34" t="s">
        <v>110</v>
      </c>
      <c r="I2" s="35" t="s">
        <v>111</v>
      </c>
      <c r="J2" s="36"/>
      <c r="K2" s="10"/>
      <c r="L2"/>
      <c r="Q2" s="134">
        <f>IF(OR(MIN(K10:K122)&lt;0,MAX(K10:K122)&gt;0),1,0)</f>
        <v>1</v>
      </c>
      <c r="R2" s="72" t="s">
        <v>1605</v>
      </c>
    </row>
    <row r="3" spans="1:18" ht="19.5" customHeight="1">
      <c r="A3" s="345" t="s">
        <v>1606</v>
      </c>
      <c r="B3" s="345"/>
      <c r="C3" s="345"/>
      <c r="D3" s="345"/>
      <c r="E3" s="345"/>
      <c r="F3" s="345"/>
      <c r="G3" s="345"/>
      <c r="H3" s="345"/>
      <c r="I3" s="345"/>
      <c r="J3" s="345"/>
      <c r="K3" s="345"/>
      <c r="L3" s="346" t="s">
        <v>1607</v>
      </c>
      <c r="Q3" s="134">
        <f>IF(OR(MIN(L10:L122)&lt;0,MAX(L10:L122)&gt;0),1,0)</f>
        <v>1</v>
      </c>
      <c r="R3" s="72" t="s">
        <v>1608</v>
      </c>
    </row>
    <row r="4" spans="1:12" ht="19.5" customHeight="1">
      <c r="A4" s="347" t="str">
        <f>"stanje na dan "&amp;IF(Opci!H5&lt;&gt;"",TEXT(Opci!H5,"DD.MM.YYYY."),"__.__.____.")</f>
        <v>stanje na dan 31.12.2014.</v>
      </c>
      <c r="B4" s="347"/>
      <c r="C4" s="347"/>
      <c r="D4" s="347"/>
      <c r="E4" s="347"/>
      <c r="F4" s="347"/>
      <c r="G4" s="347"/>
      <c r="H4" s="347"/>
      <c r="I4" s="347"/>
      <c r="J4" s="347"/>
      <c r="K4" s="347"/>
      <c r="L4" s="346"/>
    </row>
    <row r="5" spans="1:12" ht="4.5" customHeight="1">
      <c r="A5" s="135"/>
      <c r="B5" s="136"/>
      <c r="C5" s="136"/>
      <c r="D5" s="136"/>
      <c r="E5" s="136"/>
      <c r="F5" s="136"/>
      <c r="G5" s="136"/>
      <c r="H5" s="136"/>
      <c r="I5" s="136"/>
      <c r="J5" s="136"/>
      <c r="K5" s="136"/>
      <c r="L5" s="82"/>
    </row>
    <row r="6" spans="1:18" ht="19.5" customHeight="1">
      <c r="A6" s="348" t="str">
        <f>"Obveznik: "&amp;IF(Opci!C23&lt;&gt;"",Opci!C23,"________")&amp;"; "&amp;IF(Opci!C25&lt;&gt;"",Opci!C25,"_____________________________________________________________"&amp;"; "&amp;IF(Opci!F27&lt;&gt;"",Opci!F27,"_______________"))</f>
        <v>Obveznik: 26211106548; STAMBENO KOMUNALNO GOSPODARSTVO D.O.O.</v>
      </c>
      <c r="B6" s="348"/>
      <c r="C6" s="348"/>
      <c r="D6" s="348"/>
      <c r="E6" s="348"/>
      <c r="F6" s="348"/>
      <c r="G6" s="348"/>
      <c r="H6" s="348"/>
      <c r="I6" s="348"/>
      <c r="J6" s="348"/>
      <c r="K6" s="348"/>
      <c r="L6" s="348"/>
      <c r="Q6" s="72">
        <f>IF(OR(MIN(K88,K121:K122)&lt;0,MAX(K88,K121:K122)&gt;0),1,0)</f>
        <v>0</v>
      </c>
      <c r="R6" s="72" t="s">
        <v>1609</v>
      </c>
    </row>
    <row r="7" spans="1:18" ht="24.75" customHeight="1">
      <c r="A7" s="349" t="s">
        <v>1610</v>
      </c>
      <c r="B7" s="349"/>
      <c r="C7" s="349"/>
      <c r="D7" s="349"/>
      <c r="E7" s="349"/>
      <c r="F7" s="349"/>
      <c r="G7" s="349"/>
      <c r="H7" s="349"/>
      <c r="I7" s="137" t="s">
        <v>1611</v>
      </c>
      <c r="J7" s="137" t="s">
        <v>1612</v>
      </c>
      <c r="K7" s="138" t="s">
        <v>1613</v>
      </c>
      <c r="L7" s="139" t="s">
        <v>1614</v>
      </c>
      <c r="Q7" s="72">
        <f>IF(OR(MIN(L88,L121:L122)&lt;0,MAX(L88,L121:L122)&gt;0),1,0)</f>
        <v>0</v>
      </c>
      <c r="R7" s="72" t="s">
        <v>1615</v>
      </c>
    </row>
    <row r="8" spans="1:12" ht="13.5" customHeight="1">
      <c r="A8" s="350">
        <v>1</v>
      </c>
      <c r="B8" s="350"/>
      <c r="C8" s="350"/>
      <c r="D8" s="350"/>
      <c r="E8" s="350"/>
      <c r="F8" s="350"/>
      <c r="G8" s="350"/>
      <c r="H8" s="350"/>
      <c r="I8" s="141">
        <v>2</v>
      </c>
      <c r="J8" s="141">
        <v>3</v>
      </c>
      <c r="K8" s="140">
        <v>4</v>
      </c>
      <c r="L8" s="140">
        <v>5</v>
      </c>
    </row>
    <row r="9" spans="1:12" ht="13.5" customHeight="1">
      <c r="A9" s="351" t="s">
        <v>1616</v>
      </c>
      <c r="B9" s="351"/>
      <c r="C9" s="351"/>
      <c r="D9" s="351"/>
      <c r="E9" s="351"/>
      <c r="F9" s="351"/>
      <c r="G9" s="351"/>
      <c r="H9" s="351"/>
      <c r="I9" s="351"/>
      <c r="J9" s="351"/>
      <c r="K9" s="351"/>
      <c r="L9" s="351"/>
    </row>
    <row r="10" spans="1:17" ht="13.5" customHeight="1">
      <c r="A10" s="352" t="s">
        <v>1617</v>
      </c>
      <c r="B10" s="352"/>
      <c r="C10" s="352"/>
      <c r="D10" s="352"/>
      <c r="E10" s="352"/>
      <c r="F10" s="352"/>
      <c r="G10" s="352"/>
      <c r="H10" s="352"/>
      <c r="I10" s="142">
        <v>1</v>
      </c>
      <c r="J10" s="143"/>
      <c r="K10" s="144"/>
      <c r="L10" s="144"/>
      <c r="Q10" s="134"/>
    </row>
    <row r="11" spans="1:12" ht="13.5" customHeight="1">
      <c r="A11" s="353" t="s">
        <v>1618</v>
      </c>
      <c r="B11" s="353"/>
      <c r="C11" s="353"/>
      <c r="D11" s="353"/>
      <c r="E11" s="353"/>
      <c r="F11" s="353"/>
      <c r="G11" s="353"/>
      <c r="H11" s="353"/>
      <c r="I11" s="145">
        <v>2</v>
      </c>
      <c r="J11" s="146"/>
      <c r="K11" s="147">
        <f>K12+K19+K29+K38+K42</f>
        <v>4096926</v>
      </c>
      <c r="L11" s="147">
        <f>L12+L19+L29+L38+L42</f>
        <v>3762291</v>
      </c>
    </row>
    <row r="12" spans="1:12" ht="13.5" customHeight="1">
      <c r="A12" s="354" t="s">
        <v>1619</v>
      </c>
      <c r="B12" s="354"/>
      <c r="C12" s="354"/>
      <c r="D12" s="354"/>
      <c r="E12" s="354"/>
      <c r="F12" s="354"/>
      <c r="G12" s="354"/>
      <c r="H12" s="354"/>
      <c r="I12" s="145">
        <v>3</v>
      </c>
      <c r="J12" s="146"/>
      <c r="K12" s="147">
        <f>SUM(K13:K18)</f>
        <v>0</v>
      </c>
      <c r="L12" s="147">
        <f>SUM(L13:L18)</f>
        <v>0</v>
      </c>
    </row>
    <row r="13" spans="1:12" ht="13.5" customHeight="1">
      <c r="A13" s="355" t="s">
        <v>1620</v>
      </c>
      <c r="B13" s="355"/>
      <c r="C13" s="355"/>
      <c r="D13" s="355"/>
      <c r="E13" s="355"/>
      <c r="F13" s="355"/>
      <c r="G13" s="355"/>
      <c r="H13" s="355"/>
      <c r="I13" s="145">
        <v>4</v>
      </c>
      <c r="J13" s="146"/>
      <c r="K13" s="148"/>
      <c r="L13" s="148"/>
    </row>
    <row r="14" spans="1:12" ht="13.5" customHeight="1">
      <c r="A14" s="355" t="s">
        <v>1621</v>
      </c>
      <c r="B14" s="355"/>
      <c r="C14" s="355"/>
      <c r="D14" s="355"/>
      <c r="E14" s="355"/>
      <c r="F14" s="355"/>
      <c r="G14" s="355"/>
      <c r="H14" s="355"/>
      <c r="I14" s="145">
        <v>5</v>
      </c>
      <c r="J14" s="146"/>
      <c r="K14" s="148"/>
      <c r="L14" s="148"/>
    </row>
    <row r="15" spans="1:12" ht="13.5" customHeight="1">
      <c r="A15" s="355" t="s">
        <v>1622</v>
      </c>
      <c r="B15" s="355"/>
      <c r="C15" s="355"/>
      <c r="D15" s="355"/>
      <c r="E15" s="355"/>
      <c r="F15" s="355"/>
      <c r="G15" s="355"/>
      <c r="H15" s="355"/>
      <c r="I15" s="145">
        <v>6</v>
      </c>
      <c r="J15" s="146"/>
      <c r="K15" s="148"/>
      <c r="L15" s="148"/>
    </row>
    <row r="16" spans="1:12" ht="13.5" customHeight="1">
      <c r="A16" s="355" t="s">
        <v>1623</v>
      </c>
      <c r="B16" s="355"/>
      <c r="C16" s="355"/>
      <c r="D16" s="355"/>
      <c r="E16" s="355"/>
      <c r="F16" s="355"/>
      <c r="G16" s="355"/>
      <c r="H16" s="355"/>
      <c r="I16" s="145">
        <v>7</v>
      </c>
      <c r="J16" s="146"/>
      <c r="K16" s="148"/>
      <c r="L16" s="148"/>
    </row>
    <row r="17" spans="1:12" ht="13.5" customHeight="1">
      <c r="A17" s="355" t="s">
        <v>1624</v>
      </c>
      <c r="B17" s="355"/>
      <c r="C17" s="355"/>
      <c r="D17" s="355"/>
      <c r="E17" s="355"/>
      <c r="F17" s="355"/>
      <c r="G17" s="355"/>
      <c r="H17" s="355"/>
      <c r="I17" s="145">
        <v>8</v>
      </c>
      <c r="J17" s="146"/>
      <c r="K17" s="148"/>
      <c r="L17" s="148"/>
    </row>
    <row r="18" spans="1:12" ht="13.5" customHeight="1">
      <c r="A18" s="355" t="s">
        <v>1625</v>
      </c>
      <c r="B18" s="355"/>
      <c r="C18" s="355"/>
      <c r="D18" s="355"/>
      <c r="E18" s="355"/>
      <c r="F18" s="355"/>
      <c r="G18" s="355"/>
      <c r="H18" s="355"/>
      <c r="I18" s="145">
        <v>9</v>
      </c>
      <c r="J18" s="146"/>
      <c r="K18" s="148"/>
      <c r="L18" s="148"/>
    </row>
    <row r="19" spans="1:12" ht="13.5" customHeight="1">
      <c r="A19" s="354" t="s">
        <v>1626</v>
      </c>
      <c r="B19" s="354"/>
      <c r="C19" s="354"/>
      <c r="D19" s="354"/>
      <c r="E19" s="354"/>
      <c r="F19" s="354"/>
      <c r="G19" s="354"/>
      <c r="H19" s="354"/>
      <c r="I19" s="145">
        <v>10</v>
      </c>
      <c r="J19" s="146"/>
      <c r="K19" s="147">
        <f>SUM(K20:K28)</f>
        <v>4039724</v>
      </c>
      <c r="L19" s="147">
        <f>SUM(L20:L28)</f>
        <v>3711010</v>
      </c>
    </row>
    <row r="20" spans="1:12" ht="13.5" customHeight="1">
      <c r="A20" s="355" t="s">
        <v>1627</v>
      </c>
      <c r="B20" s="355"/>
      <c r="C20" s="355"/>
      <c r="D20" s="355"/>
      <c r="E20" s="355"/>
      <c r="F20" s="355"/>
      <c r="G20" s="355"/>
      <c r="H20" s="355"/>
      <c r="I20" s="145">
        <v>11</v>
      </c>
      <c r="J20" s="146"/>
      <c r="K20" s="148"/>
      <c r="L20" s="148"/>
    </row>
    <row r="21" spans="1:12" ht="13.5" customHeight="1">
      <c r="A21" s="355" t="s">
        <v>1628</v>
      </c>
      <c r="B21" s="355"/>
      <c r="C21" s="355"/>
      <c r="D21" s="355"/>
      <c r="E21" s="355"/>
      <c r="F21" s="355"/>
      <c r="G21" s="355"/>
      <c r="H21" s="355"/>
      <c r="I21" s="145">
        <v>12</v>
      </c>
      <c r="J21" s="146"/>
      <c r="K21" s="148">
        <v>3633866</v>
      </c>
      <c r="L21" s="148">
        <v>3370529</v>
      </c>
    </row>
    <row r="22" spans="1:12" ht="13.5" customHeight="1">
      <c r="A22" s="355" t="s">
        <v>1629</v>
      </c>
      <c r="B22" s="355"/>
      <c r="C22" s="355"/>
      <c r="D22" s="355"/>
      <c r="E22" s="355"/>
      <c r="F22" s="355"/>
      <c r="G22" s="355"/>
      <c r="H22" s="355"/>
      <c r="I22" s="145">
        <v>13</v>
      </c>
      <c r="J22" s="146"/>
      <c r="K22" s="148">
        <v>300073</v>
      </c>
      <c r="L22" s="148">
        <v>281789</v>
      </c>
    </row>
    <row r="23" spans="1:12" ht="13.5" customHeight="1">
      <c r="A23" s="355" t="s">
        <v>1630</v>
      </c>
      <c r="B23" s="355"/>
      <c r="C23" s="355"/>
      <c r="D23" s="355"/>
      <c r="E23" s="355"/>
      <c r="F23" s="355"/>
      <c r="G23" s="355"/>
      <c r="H23" s="355"/>
      <c r="I23" s="145">
        <v>14</v>
      </c>
      <c r="J23" s="146"/>
      <c r="K23" s="148">
        <v>105785</v>
      </c>
      <c r="L23" s="148">
        <v>58692</v>
      </c>
    </row>
    <row r="24" spans="1:12" ht="13.5" customHeight="1">
      <c r="A24" s="355" t="s">
        <v>1631</v>
      </c>
      <c r="B24" s="355"/>
      <c r="C24" s="355"/>
      <c r="D24" s="355"/>
      <c r="E24" s="355"/>
      <c r="F24" s="355"/>
      <c r="G24" s="355"/>
      <c r="H24" s="355"/>
      <c r="I24" s="145">
        <v>15</v>
      </c>
      <c r="J24" s="146"/>
      <c r="K24" s="148"/>
      <c r="L24" s="148"/>
    </row>
    <row r="25" spans="1:12" ht="13.5" customHeight="1">
      <c r="A25" s="355" t="s">
        <v>1632</v>
      </c>
      <c r="B25" s="355"/>
      <c r="C25" s="355"/>
      <c r="D25" s="355"/>
      <c r="E25" s="355"/>
      <c r="F25" s="355"/>
      <c r="G25" s="355"/>
      <c r="H25" s="355"/>
      <c r="I25" s="145">
        <v>16</v>
      </c>
      <c r="J25" s="146"/>
      <c r="K25" s="148"/>
      <c r="L25" s="148"/>
    </row>
    <row r="26" spans="1:12" ht="13.5" customHeight="1">
      <c r="A26" s="355" t="s">
        <v>1633</v>
      </c>
      <c r="B26" s="355"/>
      <c r="C26" s="355"/>
      <c r="D26" s="355"/>
      <c r="E26" s="355"/>
      <c r="F26" s="355"/>
      <c r="G26" s="355"/>
      <c r="H26" s="355"/>
      <c r="I26" s="145">
        <v>17</v>
      </c>
      <c r="J26" s="146"/>
      <c r="K26" s="148"/>
      <c r="L26" s="148"/>
    </row>
    <row r="27" spans="1:12" ht="13.5" customHeight="1">
      <c r="A27" s="355" t="s">
        <v>1634</v>
      </c>
      <c r="B27" s="355"/>
      <c r="C27" s="355"/>
      <c r="D27" s="355"/>
      <c r="E27" s="355"/>
      <c r="F27" s="355"/>
      <c r="G27" s="355"/>
      <c r="H27" s="355"/>
      <c r="I27" s="145">
        <v>18</v>
      </c>
      <c r="J27" s="146"/>
      <c r="K27" s="148"/>
      <c r="L27" s="148"/>
    </row>
    <row r="28" spans="1:12" ht="13.5" customHeight="1">
      <c r="A28" s="355" t="s">
        <v>1635</v>
      </c>
      <c r="B28" s="355"/>
      <c r="C28" s="355"/>
      <c r="D28" s="355"/>
      <c r="E28" s="355"/>
      <c r="F28" s="355"/>
      <c r="G28" s="355"/>
      <c r="H28" s="355"/>
      <c r="I28" s="145">
        <v>19</v>
      </c>
      <c r="J28" s="146"/>
      <c r="K28" s="148"/>
      <c r="L28" s="148"/>
    </row>
    <row r="29" spans="1:12" ht="13.5" customHeight="1">
      <c r="A29" s="354" t="s">
        <v>1636</v>
      </c>
      <c r="B29" s="354"/>
      <c r="C29" s="354"/>
      <c r="D29" s="354"/>
      <c r="E29" s="354"/>
      <c r="F29" s="354"/>
      <c r="G29" s="354"/>
      <c r="H29" s="354"/>
      <c r="I29" s="145">
        <v>20</v>
      </c>
      <c r="J29" s="146"/>
      <c r="K29" s="147">
        <f>SUM(K30:K37)</f>
        <v>3145</v>
      </c>
      <c r="L29" s="147">
        <f>SUM(L30:L37)</f>
        <v>3145</v>
      </c>
    </row>
    <row r="30" spans="1:12" ht="13.5" customHeight="1">
      <c r="A30" s="355" t="s">
        <v>1637</v>
      </c>
      <c r="B30" s="355"/>
      <c r="C30" s="355"/>
      <c r="D30" s="355"/>
      <c r="E30" s="355"/>
      <c r="F30" s="355"/>
      <c r="G30" s="355"/>
      <c r="H30" s="355"/>
      <c r="I30" s="145">
        <v>21</v>
      </c>
      <c r="J30" s="146"/>
      <c r="K30" s="148"/>
      <c r="L30" s="148"/>
    </row>
    <row r="31" spans="1:12" ht="13.5" customHeight="1">
      <c r="A31" s="355" t="s">
        <v>1638</v>
      </c>
      <c r="B31" s="355"/>
      <c r="C31" s="355"/>
      <c r="D31" s="355"/>
      <c r="E31" s="355"/>
      <c r="F31" s="355"/>
      <c r="G31" s="355"/>
      <c r="H31" s="355"/>
      <c r="I31" s="145">
        <v>22</v>
      </c>
      <c r="J31" s="146"/>
      <c r="K31" s="148"/>
      <c r="L31" s="148"/>
    </row>
    <row r="32" spans="1:12" ht="13.5" customHeight="1">
      <c r="A32" s="355" t="s">
        <v>1639</v>
      </c>
      <c r="B32" s="355"/>
      <c r="C32" s="355"/>
      <c r="D32" s="355"/>
      <c r="E32" s="355"/>
      <c r="F32" s="355"/>
      <c r="G32" s="355"/>
      <c r="H32" s="355"/>
      <c r="I32" s="145">
        <v>23</v>
      </c>
      <c r="J32" s="146"/>
      <c r="K32" s="148"/>
      <c r="L32" s="148"/>
    </row>
    <row r="33" spans="1:12" ht="13.5" customHeight="1">
      <c r="A33" s="355" t="s">
        <v>1640</v>
      </c>
      <c r="B33" s="355"/>
      <c r="C33" s="355"/>
      <c r="D33" s="355"/>
      <c r="E33" s="355"/>
      <c r="F33" s="355"/>
      <c r="G33" s="355"/>
      <c r="H33" s="355"/>
      <c r="I33" s="145">
        <v>24</v>
      </c>
      <c r="J33" s="146"/>
      <c r="K33" s="148"/>
      <c r="L33" s="148"/>
    </row>
    <row r="34" spans="1:12" ht="13.5" customHeight="1">
      <c r="A34" s="355" t="s">
        <v>1641</v>
      </c>
      <c r="B34" s="355"/>
      <c r="C34" s="355"/>
      <c r="D34" s="355"/>
      <c r="E34" s="355"/>
      <c r="F34" s="355"/>
      <c r="G34" s="355"/>
      <c r="H34" s="355"/>
      <c r="I34" s="145">
        <v>25</v>
      </c>
      <c r="J34" s="146"/>
      <c r="K34" s="148">
        <v>876</v>
      </c>
      <c r="L34" s="148">
        <v>876</v>
      </c>
    </row>
    <row r="35" spans="1:12" ht="13.5" customHeight="1">
      <c r="A35" s="355" t="s">
        <v>1642</v>
      </c>
      <c r="B35" s="355"/>
      <c r="C35" s="355"/>
      <c r="D35" s="355"/>
      <c r="E35" s="355"/>
      <c r="F35" s="355"/>
      <c r="G35" s="355"/>
      <c r="H35" s="355"/>
      <c r="I35" s="145">
        <v>26</v>
      </c>
      <c r="J35" s="146"/>
      <c r="K35" s="148"/>
      <c r="L35" s="148"/>
    </row>
    <row r="36" spans="1:12" ht="13.5" customHeight="1">
      <c r="A36" s="355" t="s">
        <v>1643</v>
      </c>
      <c r="B36" s="355"/>
      <c r="C36" s="355"/>
      <c r="D36" s="355"/>
      <c r="E36" s="355"/>
      <c r="F36" s="355"/>
      <c r="G36" s="355"/>
      <c r="H36" s="355"/>
      <c r="I36" s="145">
        <v>27</v>
      </c>
      <c r="J36" s="146"/>
      <c r="K36" s="148">
        <v>2269</v>
      </c>
      <c r="L36" s="148">
        <v>2269</v>
      </c>
    </row>
    <row r="37" spans="1:12" ht="13.5" customHeight="1">
      <c r="A37" s="355" t="s">
        <v>1644</v>
      </c>
      <c r="B37" s="355"/>
      <c r="C37" s="355"/>
      <c r="D37" s="355"/>
      <c r="E37" s="355"/>
      <c r="F37" s="355"/>
      <c r="G37" s="355"/>
      <c r="H37" s="355"/>
      <c r="I37" s="145">
        <v>28</v>
      </c>
      <c r="J37" s="146"/>
      <c r="K37" s="148"/>
      <c r="L37" s="148"/>
    </row>
    <row r="38" spans="1:12" ht="13.5" customHeight="1">
      <c r="A38" s="354" t="s">
        <v>1645</v>
      </c>
      <c r="B38" s="354"/>
      <c r="C38" s="354"/>
      <c r="D38" s="354"/>
      <c r="E38" s="354"/>
      <c r="F38" s="354"/>
      <c r="G38" s="354"/>
      <c r="H38" s="354"/>
      <c r="I38" s="145">
        <v>29</v>
      </c>
      <c r="J38" s="146"/>
      <c r="K38" s="147">
        <f>SUM(K39:K41)</f>
        <v>54057</v>
      </c>
      <c r="L38" s="147">
        <f>SUM(L39:L41)</f>
        <v>48136</v>
      </c>
    </row>
    <row r="39" spans="1:12" ht="13.5" customHeight="1">
      <c r="A39" s="355" t="s">
        <v>1646</v>
      </c>
      <c r="B39" s="355"/>
      <c r="C39" s="355"/>
      <c r="D39" s="355"/>
      <c r="E39" s="355"/>
      <c r="F39" s="355"/>
      <c r="G39" s="355"/>
      <c r="H39" s="355"/>
      <c r="I39" s="145">
        <v>30</v>
      </c>
      <c r="J39" s="146"/>
      <c r="K39" s="148"/>
      <c r="L39" s="148"/>
    </row>
    <row r="40" spans="1:12" ht="13.5" customHeight="1">
      <c r="A40" s="355" t="s">
        <v>1647</v>
      </c>
      <c r="B40" s="355"/>
      <c r="C40" s="355"/>
      <c r="D40" s="355"/>
      <c r="E40" s="355"/>
      <c r="F40" s="355"/>
      <c r="G40" s="355"/>
      <c r="H40" s="355"/>
      <c r="I40" s="145">
        <v>31</v>
      </c>
      <c r="J40" s="146"/>
      <c r="K40" s="148">
        <v>54057</v>
      </c>
      <c r="L40" s="148">
        <v>48136</v>
      </c>
    </row>
    <row r="41" spans="1:12" ht="13.5" customHeight="1">
      <c r="A41" s="355" t="s">
        <v>1648</v>
      </c>
      <c r="B41" s="355"/>
      <c r="C41" s="355"/>
      <c r="D41" s="355"/>
      <c r="E41" s="355"/>
      <c r="F41" s="355"/>
      <c r="G41" s="355"/>
      <c r="H41" s="355"/>
      <c r="I41" s="145">
        <v>32</v>
      </c>
      <c r="J41" s="146"/>
      <c r="K41" s="148"/>
      <c r="L41" s="148"/>
    </row>
    <row r="42" spans="1:12" ht="13.5" customHeight="1">
      <c r="A42" s="354" t="s">
        <v>1649</v>
      </c>
      <c r="B42" s="354"/>
      <c r="C42" s="354"/>
      <c r="D42" s="354"/>
      <c r="E42" s="354"/>
      <c r="F42" s="354"/>
      <c r="G42" s="354"/>
      <c r="H42" s="354"/>
      <c r="I42" s="145">
        <v>33</v>
      </c>
      <c r="J42" s="146"/>
      <c r="K42" s="148"/>
      <c r="L42" s="148"/>
    </row>
    <row r="43" spans="1:12" ht="13.5" customHeight="1">
      <c r="A43" s="353" t="s">
        <v>1650</v>
      </c>
      <c r="B43" s="353"/>
      <c r="C43" s="353"/>
      <c r="D43" s="353"/>
      <c r="E43" s="353"/>
      <c r="F43" s="353"/>
      <c r="G43" s="353"/>
      <c r="H43" s="353"/>
      <c r="I43" s="145">
        <v>34</v>
      </c>
      <c r="J43" s="146"/>
      <c r="K43" s="147">
        <f>K44+K52+K59+K67</f>
        <v>2510350</v>
      </c>
      <c r="L43" s="147">
        <f>L44+L52+L59+L67</f>
        <v>2562217</v>
      </c>
    </row>
    <row r="44" spans="1:12" ht="13.5" customHeight="1">
      <c r="A44" s="354" t="s">
        <v>1651</v>
      </c>
      <c r="B44" s="354"/>
      <c r="C44" s="354"/>
      <c r="D44" s="354"/>
      <c r="E44" s="354"/>
      <c r="F44" s="354"/>
      <c r="G44" s="354"/>
      <c r="H44" s="354"/>
      <c r="I44" s="145">
        <v>35</v>
      </c>
      <c r="J44" s="146"/>
      <c r="K44" s="147">
        <f>SUM(K45:K51)</f>
        <v>219570</v>
      </c>
      <c r="L44" s="147">
        <f>SUM(L45:L51)</f>
        <v>236647</v>
      </c>
    </row>
    <row r="45" spans="1:12" ht="13.5" customHeight="1">
      <c r="A45" s="355" t="s">
        <v>1652</v>
      </c>
      <c r="B45" s="355"/>
      <c r="C45" s="355"/>
      <c r="D45" s="355"/>
      <c r="E45" s="355"/>
      <c r="F45" s="355"/>
      <c r="G45" s="355"/>
      <c r="H45" s="355"/>
      <c r="I45" s="145">
        <v>36</v>
      </c>
      <c r="J45" s="146"/>
      <c r="K45" s="148">
        <v>192392</v>
      </c>
      <c r="L45" s="148">
        <v>207805</v>
      </c>
    </row>
    <row r="46" spans="1:12" ht="13.5" customHeight="1">
      <c r="A46" s="355" t="s">
        <v>1653</v>
      </c>
      <c r="B46" s="355"/>
      <c r="C46" s="355"/>
      <c r="D46" s="355"/>
      <c r="E46" s="355"/>
      <c r="F46" s="355"/>
      <c r="G46" s="355"/>
      <c r="H46" s="355"/>
      <c r="I46" s="145">
        <v>37</v>
      </c>
      <c r="J46" s="146"/>
      <c r="K46" s="148"/>
      <c r="L46" s="148"/>
    </row>
    <row r="47" spans="1:12" ht="13.5" customHeight="1">
      <c r="A47" s="355" t="s">
        <v>1654</v>
      </c>
      <c r="B47" s="355"/>
      <c r="C47" s="355"/>
      <c r="D47" s="355"/>
      <c r="E47" s="355"/>
      <c r="F47" s="355"/>
      <c r="G47" s="355"/>
      <c r="H47" s="355"/>
      <c r="I47" s="145">
        <v>38</v>
      </c>
      <c r="J47" s="146"/>
      <c r="K47" s="148"/>
      <c r="L47" s="148"/>
    </row>
    <row r="48" spans="1:12" ht="13.5" customHeight="1">
      <c r="A48" s="355" t="s">
        <v>1655</v>
      </c>
      <c r="B48" s="355"/>
      <c r="C48" s="355"/>
      <c r="D48" s="355"/>
      <c r="E48" s="355"/>
      <c r="F48" s="355"/>
      <c r="G48" s="355"/>
      <c r="H48" s="355"/>
      <c r="I48" s="145">
        <v>39</v>
      </c>
      <c r="J48" s="146"/>
      <c r="K48" s="148">
        <v>27178</v>
      </c>
      <c r="L48" s="148">
        <v>28842</v>
      </c>
    </row>
    <row r="49" spans="1:12" ht="13.5" customHeight="1">
      <c r="A49" s="355" t="s">
        <v>1656</v>
      </c>
      <c r="B49" s="355"/>
      <c r="C49" s="355"/>
      <c r="D49" s="355"/>
      <c r="E49" s="355"/>
      <c r="F49" s="355"/>
      <c r="G49" s="355"/>
      <c r="H49" s="355"/>
      <c r="I49" s="145">
        <v>40</v>
      </c>
      <c r="J49" s="146"/>
      <c r="K49" s="148"/>
      <c r="L49" s="148"/>
    </row>
    <row r="50" spans="1:12" ht="13.5" customHeight="1">
      <c r="A50" s="355" t="s">
        <v>1657</v>
      </c>
      <c r="B50" s="355"/>
      <c r="C50" s="355"/>
      <c r="D50" s="355"/>
      <c r="E50" s="355"/>
      <c r="F50" s="355"/>
      <c r="G50" s="355"/>
      <c r="H50" s="355"/>
      <c r="I50" s="145">
        <v>41</v>
      </c>
      <c r="J50" s="146"/>
      <c r="K50" s="148"/>
      <c r="L50" s="148"/>
    </row>
    <row r="51" spans="1:12" ht="13.5" customHeight="1">
      <c r="A51" s="355" t="s">
        <v>1658</v>
      </c>
      <c r="B51" s="355"/>
      <c r="C51" s="355"/>
      <c r="D51" s="355"/>
      <c r="E51" s="355"/>
      <c r="F51" s="355"/>
      <c r="G51" s="355"/>
      <c r="H51" s="355"/>
      <c r="I51" s="145">
        <v>42</v>
      </c>
      <c r="J51" s="146"/>
      <c r="K51" s="148"/>
      <c r="L51" s="148"/>
    </row>
    <row r="52" spans="1:12" ht="13.5" customHeight="1">
      <c r="A52" s="354" t="s">
        <v>1659</v>
      </c>
      <c r="B52" s="354"/>
      <c r="C52" s="354"/>
      <c r="D52" s="354"/>
      <c r="E52" s="354"/>
      <c r="F52" s="354"/>
      <c r="G52" s="354"/>
      <c r="H52" s="354"/>
      <c r="I52" s="145">
        <v>43</v>
      </c>
      <c r="J52" s="146"/>
      <c r="K52" s="147">
        <f>SUM(K53:K58)</f>
        <v>2152972</v>
      </c>
      <c r="L52" s="147">
        <f>SUM(L53:L58)</f>
        <v>2209229</v>
      </c>
    </row>
    <row r="53" spans="1:12" ht="13.5" customHeight="1">
      <c r="A53" s="355" t="s">
        <v>1660</v>
      </c>
      <c r="B53" s="355"/>
      <c r="C53" s="355"/>
      <c r="D53" s="355"/>
      <c r="E53" s="355"/>
      <c r="F53" s="355"/>
      <c r="G53" s="355"/>
      <c r="H53" s="355"/>
      <c r="I53" s="145">
        <v>44</v>
      </c>
      <c r="J53" s="146"/>
      <c r="K53" s="148"/>
      <c r="L53" s="148"/>
    </row>
    <row r="54" spans="1:12" ht="13.5" customHeight="1">
      <c r="A54" s="355" t="s">
        <v>1661</v>
      </c>
      <c r="B54" s="355"/>
      <c r="C54" s="355"/>
      <c r="D54" s="355"/>
      <c r="E54" s="355"/>
      <c r="F54" s="355"/>
      <c r="G54" s="355"/>
      <c r="H54" s="355"/>
      <c r="I54" s="145">
        <v>45</v>
      </c>
      <c r="J54" s="146"/>
      <c r="K54" s="148">
        <v>2130577</v>
      </c>
      <c r="L54" s="148">
        <v>2202035</v>
      </c>
    </row>
    <row r="55" spans="1:12" ht="13.5" customHeight="1">
      <c r="A55" s="355" t="s">
        <v>1662</v>
      </c>
      <c r="B55" s="355"/>
      <c r="C55" s="355"/>
      <c r="D55" s="355"/>
      <c r="E55" s="355"/>
      <c r="F55" s="355"/>
      <c r="G55" s="355"/>
      <c r="H55" s="355"/>
      <c r="I55" s="145">
        <v>46</v>
      </c>
      <c r="J55" s="146"/>
      <c r="K55" s="148"/>
      <c r="L55" s="148"/>
    </row>
    <row r="56" spans="1:12" ht="13.5" customHeight="1">
      <c r="A56" s="355" t="s">
        <v>1663</v>
      </c>
      <c r="B56" s="355"/>
      <c r="C56" s="355"/>
      <c r="D56" s="355"/>
      <c r="E56" s="355"/>
      <c r="F56" s="355"/>
      <c r="G56" s="355"/>
      <c r="H56" s="355"/>
      <c r="I56" s="145">
        <v>47</v>
      </c>
      <c r="J56" s="146"/>
      <c r="K56" s="148"/>
      <c r="L56" s="148"/>
    </row>
    <row r="57" spans="1:12" ht="13.5" customHeight="1">
      <c r="A57" s="355" t="s">
        <v>1664</v>
      </c>
      <c r="B57" s="355"/>
      <c r="C57" s="355"/>
      <c r="D57" s="355"/>
      <c r="E57" s="355"/>
      <c r="F57" s="355"/>
      <c r="G57" s="355"/>
      <c r="H57" s="355"/>
      <c r="I57" s="145">
        <v>48</v>
      </c>
      <c r="J57" s="146"/>
      <c r="K57" s="148">
        <v>20237</v>
      </c>
      <c r="L57" s="148">
        <v>4560</v>
      </c>
    </row>
    <row r="58" spans="1:12" ht="13.5" customHeight="1">
      <c r="A58" s="355" t="s">
        <v>1665</v>
      </c>
      <c r="B58" s="355"/>
      <c r="C58" s="355"/>
      <c r="D58" s="355"/>
      <c r="E58" s="355"/>
      <c r="F58" s="355"/>
      <c r="G58" s="355"/>
      <c r="H58" s="355"/>
      <c r="I58" s="145">
        <v>49</v>
      </c>
      <c r="J58" s="146"/>
      <c r="K58" s="148">
        <v>2158</v>
      </c>
      <c r="L58" s="148">
        <v>2634</v>
      </c>
    </row>
    <row r="59" spans="1:12" ht="13.5" customHeight="1">
      <c r="A59" s="354" t="s">
        <v>1666</v>
      </c>
      <c r="B59" s="354"/>
      <c r="C59" s="354"/>
      <c r="D59" s="354"/>
      <c r="E59" s="354"/>
      <c r="F59" s="354"/>
      <c r="G59" s="354"/>
      <c r="H59" s="354"/>
      <c r="I59" s="145">
        <v>50</v>
      </c>
      <c r="J59" s="146"/>
      <c r="K59" s="147">
        <f>SUM(K60:K66)</f>
        <v>0</v>
      </c>
      <c r="L59" s="147">
        <f>SUM(L60:L66)</f>
        <v>0</v>
      </c>
    </row>
    <row r="60" spans="1:12" ht="13.5" customHeight="1">
      <c r="A60" s="355" t="s">
        <v>1637</v>
      </c>
      <c r="B60" s="355"/>
      <c r="C60" s="355"/>
      <c r="D60" s="355"/>
      <c r="E60" s="355"/>
      <c r="F60" s="355"/>
      <c r="G60" s="355"/>
      <c r="H60" s="355"/>
      <c r="I60" s="145">
        <v>51</v>
      </c>
      <c r="J60" s="146"/>
      <c r="K60" s="148"/>
      <c r="L60" s="148"/>
    </row>
    <row r="61" spans="1:12" ht="13.5" customHeight="1">
      <c r="A61" s="355" t="s">
        <v>1638</v>
      </c>
      <c r="B61" s="355"/>
      <c r="C61" s="355"/>
      <c r="D61" s="355"/>
      <c r="E61" s="355"/>
      <c r="F61" s="355"/>
      <c r="G61" s="355"/>
      <c r="H61" s="355"/>
      <c r="I61" s="145">
        <v>52</v>
      </c>
      <c r="J61" s="146"/>
      <c r="K61" s="148"/>
      <c r="L61" s="148"/>
    </row>
    <row r="62" spans="1:12" ht="13.5" customHeight="1">
      <c r="A62" s="355" t="s">
        <v>1667</v>
      </c>
      <c r="B62" s="355"/>
      <c r="C62" s="355"/>
      <c r="D62" s="355"/>
      <c r="E62" s="355"/>
      <c r="F62" s="355"/>
      <c r="G62" s="355"/>
      <c r="H62" s="355"/>
      <c r="I62" s="145">
        <v>53</v>
      </c>
      <c r="J62" s="146"/>
      <c r="K62" s="148"/>
      <c r="L62" s="148"/>
    </row>
    <row r="63" spans="1:12" ht="13.5" customHeight="1">
      <c r="A63" s="355" t="s">
        <v>1640</v>
      </c>
      <c r="B63" s="355"/>
      <c r="C63" s="355"/>
      <c r="D63" s="355"/>
      <c r="E63" s="355"/>
      <c r="F63" s="355"/>
      <c r="G63" s="355"/>
      <c r="H63" s="355"/>
      <c r="I63" s="145">
        <v>54</v>
      </c>
      <c r="J63" s="146"/>
      <c r="K63" s="148"/>
      <c r="L63" s="148"/>
    </row>
    <row r="64" spans="1:12" ht="13.5" customHeight="1">
      <c r="A64" s="355" t="s">
        <v>1641</v>
      </c>
      <c r="B64" s="355"/>
      <c r="C64" s="355"/>
      <c r="D64" s="355"/>
      <c r="E64" s="355"/>
      <c r="F64" s="355"/>
      <c r="G64" s="355"/>
      <c r="H64" s="355"/>
      <c r="I64" s="145">
        <v>55</v>
      </c>
      <c r="J64" s="146"/>
      <c r="K64" s="148"/>
      <c r="L64" s="148"/>
    </row>
    <row r="65" spans="1:12" ht="13.5" customHeight="1">
      <c r="A65" s="355" t="s">
        <v>1642</v>
      </c>
      <c r="B65" s="355"/>
      <c r="C65" s="355"/>
      <c r="D65" s="355"/>
      <c r="E65" s="355"/>
      <c r="F65" s="355"/>
      <c r="G65" s="355"/>
      <c r="H65" s="355"/>
      <c r="I65" s="145">
        <v>56</v>
      </c>
      <c r="J65" s="146"/>
      <c r="K65" s="148"/>
      <c r="L65" s="148"/>
    </row>
    <row r="66" spans="1:12" ht="13.5" customHeight="1">
      <c r="A66" s="355" t="s">
        <v>1668</v>
      </c>
      <c r="B66" s="355"/>
      <c r="C66" s="355"/>
      <c r="D66" s="355"/>
      <c r="E66" s="355"/>
      <c r="F66" s="355"/>
      <c r="G66" s="355"/>
      <c r="H66" s="355"/>
      <c r="I66" s="145">
        <v>57</v>
      </c>
      <c r="J66" s="146"/>
      <c r="K66" s="148"/>
      <c r="L66" s="148"/>
    </row>
    <row r="67" spans="1:12" ht="13.5" customHeight="1">
      <c r="A67" s="354" t="s">
        <v>1669</v>
      </c>
      <c r="B67" s="354"/>
      <c r="C67" s="354"/>
      <c r="D67" s="354"/>
      <c r="E67" s="354"/>
      <c r="F67" s="354"/>
      <c r="G67" s="354"/>
      <c r="H67" s="354"/>
      <c r="I67" s="145">
        <v>58</v>
      </c>
      <c r="J67" s="146"/>
      <c r="K67" s="148">
        <v>137808</v>
      </c>
      <c r="L67" s="148">
        <v>116341</v>
      </c>
    </row>
    <row r="68" spans="1:12" ht="13.5" customHeight="1">
      <c r="A68" s="353" t="s">
        <v>1670</v>
      </c>
      <c r="B68" s="353"/>
      <c r="C68" s="353"/>
      <c r="D68" s="353"/>
      <c r="E68" s="353"/>
      <c r="F68" s="353"/>
      <c r="G68" s="353"/>
      <c r="H68" s="353"/>
      <c r="I68" s="145">
        <v>59</v>
      </c>
      <c r="J68" s="146"/>
      <c r="K68" s="148">
        <v>41000</v>
      </c>
      <c r="L68" s="148"/>
    </row>
    <row r="69" spans="1:12" ht="13.5" customHeight="1">
      <c r="A69" s="353" t="s">
        <v>1671</v>
      </c>
      <c r="B69" s="353"/>
      <c r="C69" s="353"/>
      <c r="D69" s="353"/>
      <c r="E69" s="353"/>
      <c r="F69" s="353"/>
      <c r="G69" s="353"/>
      <c r="H69" s="353"/>
      <c r="I69" s="145">
        <v>60</v>
      </c>
      <c r="J69" s="146"/>
      <c r="K69" s="147">
        <f>K10+K11+K43+K68</f>
        <v>6648276</v>
      </c>
      <c r="L69" s="147">
        <f>L10+L11+L43+L68</f>
        <v>6324508</v>
      </c>
    </row>
    <row r="70" spans="1:12" ht="13.5" customHeight="1">
      <c r="A70" s="356" t="s">
        <v>1672</v>
      </c>
      <c r="B70" s="356"/>
      <c r="C70" s="356"/>
      <c r="D70" s="356"/>
      <c r="E70" s="356"/>
      <c r="F70" s="356"/>
      <c r="G70" s="356"/>
      <c r="H70" s="356"/>
      <c r="I70" s="149">
        <v>61</v>
      </c>
      <c r="J70" s="150"/>
      <c r="K70" s="151"/>
      <c r="L70" s="151"/>
    </row>
    <row r="71" spans="1:12" ht="13.5" customHeight="1">
      <c r="A71" s="357" t="s">
        <v>1673</v>
      </c>
      <c r="B71" s="357"/>
      <c r="C71" s="357"/>
      <c r="D71" s="357"/>
      <c r="E71" s="357"/>
      <c r="F71" s="357"/>
      <c r="G71" s="357"/>
      <c r="H71" s="357"/>
      <c r="I71" s="357"/>
      <c r="J71" s="357"/>
      <c r="K71" s="357"/>
      <c r="L71" s="357"/>
    </row>
    <row r="72" spans="1:12" ht="13.5" customHeight="1">
      <c r="A72" s="352" t="s">
        <v>1674</v>
      </c>
      <c r="B72" s="352"/>
      <c r="C72" s="352"/>
      <c r="D72" s="352"/>
      <c r="E72" s="352"/>
      <c r="F72" s="352"/>
      <c r="G72" s="352"/>
      <c r="H72" s="352"/>
      <c r="I72" s="142">
        <v>62</v>
      </c>
      <c r="J72" s="143"/>
      <c r="K72" s="152">
        <f>K73+K74+K75+K81+K82+K85+K88</f>
        <v>2850751</v>
      </c>
      <c r="L72" s="152">
        <f>L73+L74+L75+L81+L82+L85+L88</f>
        <v>2912857</v>
      </c>
    </row>
    <row r="73" spans="1:12" ht="13.5" customHeight="1">
      <c r="A73" s="354" t="s">
        <v>1675</v>
      </c>
      <c r="B73" s="354"/>
      <c r="C73" s="354"/>
      <c r="D73" s="354"/>
      <c r="E73" s="354"/>
      <c r="F73" s="354"/>
      <c r="G73" s="354"/>
      <c r="H73" s="354"/>
      <c r="I73" s="145">
        <v>63</v>
      </c>
      <c r="J73" s="146"/>
      <c r="K73" s="148">
        <v>642580</v>
      </c>
      <c r="L73" s="148">
        <v>642600</v>
      </c>
    </row>
    <row r="74" spans="1:12" ht="13.5" customHeight="1">
      <c r="A74" s="354" t="s">
        <v>1676</v>
      </c>
      <c r="B74" s="354"/>
      <c r="C74" s="354"/>
      <c r="D74" s="354"/>
      <c r="E74" s="354"/>
      <c r="F74" s="354"/>
      <c r="G74" s="354"/>
      <c r="H74" s="354"/>
      <c r="I74" s="145">
        <v>64</v>
      </c>
      <c r="J74" s="146"/>
      <c r="K74" s="148"/>
      <c r="L74" s="148"/>
    </row>
    <row r="75" spans="1:12" ht="13.5" customHeight="1">
      <c r="A75" s="354" t="s">
        <v>1677</v>
      </c>
      <c r="B75" s="354"/>
      <c r="C75" s="354"/>
      <c r="D75" s="354"/>
      <c r="E75" s="354"/>
      <c r="F75" s="354"/>
      <c r="G75" s="354"/>
      <c r="H75" s="354"/>
      <c r="I75" s="145">
        <v>65</v>
      </c>
      <c r="J75" s="146"/>
      <c r="K75" s="147">
        <f>K76+K77-K78+K79+K80</f>
        <v>81</v>
      </c>
      <c r="L75" s="147">
        <f>L76+L77-L78+L79+L80</f>
        <v>81</v>
      </c>
    </row>
    <row r="76" spans="1:12" ht="13.5" customHeight="1">
      <c r="A76" s="355" t="s">
        <v>1678</v>
      </c>
      <c r="B76" s="355"/>
      <c r="C76" s="355"/>
      <c r="D76" s="355"/>
      <c r="E76" s="355"/>
      <c r="F76" s="355"/>
      <c r="G76" s="355"/>
      <c r="H76" s="355"/>
      <c r="I76" s="145">
        <v>66</v>
      </c>
      <c r="J76" s="146"/>
      <c r="K76" s="148">
        <v>81</v>
      </c>
      <c r="L76" s="148">
        <v>81</v>
      </c>
    </row>
    <row r="77" spans="1:12" ht="13.5" customHeight="1">
      <c r="A77" s="355" t="s">
        <v>1679</v>
      </c>
      <c r="B77" s="355"/>
      <c r="C77" s="355"/>
      <c r="D77" s="355"/>
      <c r="E77" s="355"/>
      <c r="F77" s="355"/>
      <c r="G77" s="355"/>
      <c r="H77" s="355"/>
      <c r="I77" s="145">
        <v>67</v>
      </c>
      <c r="J77" s="146"/>
      <c r="K77" s="148"/>
      <c r="L77" s="148"/>
    </row>
    <row r="78" spans="1:12" ht="13.5" customHeight="1">
      <c r="A78" s="355" t="s">
        <v>1680</v>
      </c>
      <c r="B78" s="355"/>
      <c r="C78" s="355"/>
      <c r="D78" s="355"/>
      <c r="E78" s="355"/>
      <c r="F78" s="355"/>
      <c r="G78" s="355"/>
      <c r="H78" s="355"/>
      <c r="I78" s="145">
        <v>68</v>
      </c>
      <c r="J78" s="146"/>
      <c r="K78" s="148"/>
      <c r="L78" s="148"/>
    </row>
    <row r="79" spans="1:12" ht="13.5" customHeight="1">
      <c r="A79" s="355" t="s">
        <v>1681</v>
      </c>
      <c r="B79" s="355"/>
      <c r="C79" s="355"/>
      <c r="D79" s="355"/>
      <c r="E79" s="355"/>
      <c r="F79" s="355"/>
      <c r="G79" s="355"/>
      <c r="H79" s="355"/>
      <c r="I79" s="145">
        <v>69</v>
      </c>
      <c r="J79" s="146"/>
      <c r="K79" s="148"/>
      <c r="L79" s="148"/>
    </row>
    <row r="80" spans="1:12" ht="13.5" customHeight="1">
      <c r="A80" s="355" t="s">
        <v>1682</v>
      </c>
      <c r="B80" s="355"/>
      <c r="C80" s="355"/>
      <c r="D80" s="355"/>
      <c r="E80" s="355"/>
      <c r="F80" s="355"/>
      <c r="G80" s="355"/>
      <c r="H80" s="355"/>
      <c r="I80" s="145">
        <v>70</v>
      </c>
      <c r="J80" s="146"/>
      <c r="K80" s="148"/>
      <c r="L80" s="148"/>
    </row>
    <row r="81" spans="1:12" ht="13.5" customHeight="1">
      <c r="A81" s="354" t="s">
        <v>1683</v>
      </c>
      <c r="B81" s="354"/>
      <c r="C81" s="354"/>
      <c r="D81" s="354"/>
      <c r="E81" s="354"/>
      <c r="F81" s="354"/>
      <c r="G81" s="354"/>
      <c r="H81" s="354"/>
      <c r="I81" s="145">
        <v>71</v>
      </c>
      <c r="J81" s="146"/>
      <c r="K81" s="148">
        <v>1054472</v>
      </c>
      <c r="L81" s="148">
        <v>1054472</v>
      </c>
    </row>
    <row r="82" spans="1:12" ht="13.5" customHeight="1">
      <c r="A82" s="354" t="s">
        <v>1684</v>
      </c>
      <c r="B82" s="354"/>
      <c r="C82" s="354"/>
      <c r="D82" s="354"/>
      <c r="E82" s="354"/>
      <c r="F82" s="354"/>
      <c r="G82" s="354"/>
      <c r="H82" s="354"/>
      <c r="I82" s="145">
        <v>72</v>
      </c>
      <c r="J82" s="146"/>
      <c r="K82" s="147">
        <f>K83-K84</f>
        <v>1101815</v>
      </c>
      <c r="L82" s="147">
        <f>L83-L84</f>
        <v>1153619</v>
      </c>
    </row>
    <row r="83" spans="1:12" ht="13.5" customHeight="1">
      <c r="A83" s="358" t="s">
        <v>1685</v>
      </c>
      <c r="B83" s="358"/>
      <c r="C83" s="358"/>
      <c r="D83" s="358"/>
      <c r="E83" s="358"/>
      <c r="F83" s="358"/>
      <c r="G83" s="358"/>
      <c r="H83" s="358"/>
      <c r="I83" s="145">
        <v>73</v>
      </c>
      <c r="J83" s="146"/>
      <c r="K83" s="148">
        <v>1101815</v>
      </c>
      <c r="L83" s="148">
        <v>1153619</v>
      </c>
    </row>
    <row r="84" spans="1:12" ht="13.5" customHeight="1">
      <c r="A84" s="358" t="s">
        <v>1686</v>
      </c>
      <c r="B84" s="358"/>
      <c r="C84" s="358"/>
      <c r="D84" s="358"/>
      <c r="E84" s="358"/>
      <c r="F84" s="358"/>
      <c r="G84" s="358"/>
      <c r="H84" s="358"/>
      <c r="I84" s="145">
        <v>74</v>
      </c>
      <c r="J84" s="146"/>
      <c r="K84" s="148"/>
      <c r="L84" s="148"/>
    </row>
    <row r="85" spans="1:12" ht="13.5" customHeight="1">
      <c r="A85" s="354" t="s">
        <v>1687</v>
      </c>
      <c r="B85" s="354"/>
      <c r="C85" s="354"/>
      <c r="D85" s="354"/>
      <c r="E85" s="354"/>
      <c r="F85" s="354"/>
      <c r="G85" s="354"/>
      <c r="H85" s="354"/>
      <c r="I85" s="145">
        <v>75</v>
      </c>
      <c r="J85" s="146"/>
      <c r="K85" s="147">
        <f>K86-K87</f>
        <v>51803</v>
      </c>
      <c r="L85" s="147">
        <f>L86-L87</f>
        <v>62085</v>
      </c>
    </row>
    <row r="86" spans="1:12" ht="13.5" customHeight="1">
      <c r="A86" s="358" t="s">
        <v>1688</v>
      </c>
      <c r="B86" s="358"/>
      <c r="C86" s="358"/>
      <c r="D86" s="358"/>
      <c r="E86" s="358"/>
      <c r="F86" s="358"/>
      <c r="G86" s="358"/>
      <c r="H86" s="358"/>
      <c r="I86" s="145">
        <v>76</v>
      </c>
      <c r="J86" s="146"/>
      <c r="K86" s="148">
        <v>51803</v>
      </c>
      <c r="L86" s="148">
        <v>62085</v>
      </c>
    </row>
    <row r="87" spans="1:12" ht="13.5" customHeight="1">
      <c r="A87" s="358" t="s">
        <v>1689</v>
      </c>
      <c r="B87" s="358"/>
      <c r="C87" s="358"/>
      <c r="D87" s="358"/>
      <c r="E87" s="358"/>
      <c r="F87" s="358"/>
      <c r="G87" s="358"/>
      <c r="H87" s="358"/>
      <c r="I87" s="145">
        <v>77</v>
      </c>
      <c r="J87" s="146"/>
      <c r="K87" s="148"/>
      <c r="L87" s="148"/>
    </row>
    <row r="88" spans="1:12" ht="13.5" customHeight="1">
      <c r="A88" s="354" t="s">
        <v>1690</v>
      </c>
      <c r="B88" s="354"/>
      <c r="C88" s="354"/>
      <c r="D88" s="354"/>
      <c r="E88" s="354"/>
      <c r="F88" s="354"/>
      <c r="G88" s="354"/>
      <c r="H88" s="354"/>
      <c r="I88" s="145">
        <v>78</v>
      </c>
      <c r="J88" s="146"/>
      <c r="K88" s="148"/>
      <c r="L88" s="148"/>
    </row>
    <row r="89" spans="1:12" ht="13.5" customHeight="1">
      <c r="A89" s="353" t="s">
        <v>1691</v>
      </c>
      <c r="B89" s="353"/>
      <c r="C89" s="353"/>
      <c r="D89" s="353"/>
      <c r="E89" s="353"/>
      <c r="F89" s="353"/>
      <c r="G89" s="353"/>
      <c r="H89" s="353"/>
      <c r="I89" s="145">
        <v>79</v>
      </c>
      <c r="J89" s="146"/>
      <c r="K89" s="147">
        <f>SUM(K90:K92)</f>
        <v>0</v>
      </c>
      <c r="L89" s="147">
        <f>SUM(L90:L92)</f>
        <v>0</v>
      </c>
    </row>
    <row r="90" spans="1:12" ht="13.5" customHeight="1">
      <c r="A90" s="355" t="s">
        <v>1692</v>
      </c>
      <c r="B90" s="355"/>
      <c r="C90" s="355"/>
      <c r="D90" s="355"/>
      <c r="E90" s="355"/>
      <c r="F90" s="355"/>
      <c r="G90" s="355"/>
      <c r="H90" s="355"/>
      <c r="I90" s="145">
        <v>80</v>
      </c>
      <c r="J90" s="146"/>
      <c r="K90" s="148"/>
      <c r="L90" s="148"/>
    </row>
    <row r="91" spans="1:12" ht="13.5" customHeight="1">
      <c r="A91" s="355" t="s">
        <v>1693</v>
      </c>
      <c r="B91" s="355"/>
      <c r="C91" s="355"/>
      <c r="D91" s="355"/>
      <c r="E91" s="355"/>
      <c r="F91" s="355"/>
      <c r="G91" s="355"/>
      <c r="H91" s="355"/>
      <c r="I91" s="145">
        <v>81</v>
      </c>
      <c r="J91" s="146"/>
      <c r="K91" s="148"/>
      <c r="L91" s="148"/>
    </row>
    <row r="92" spans="1:12" ht="13.5" customHeight="1">
      <c r="A92" s="355" t="s">
        <v>1694</v>
      </c>
      <c r="B92" s="355"/>
      <c r="C92" s="355"/>
      <c r="D92" s="355"/>
      <c r="E92" s="355"/>
      <c r="F92" s="355"/>
      <c r="G92" s="355"/>
      <c r="H92" s="355"/>
      <c r="I92" s="145">
        <v>82</v>
      </c>
      <c r="J92" s="146"/>
      <c r="K92" s="148"/>
      <c r="L92" s="148"/>
    </row>
    <row r="93" spans="1:12" ht="13.5" customHeight="1">
      <c r="A93" s="353" t="s">
        <v>1695</v>
      </c>
      <c r="B93" s="353"/>
      <c r="C93" s="353"/>
      <c r="D93" s="353"/>
      <c r="E93" s="353"/>
      <c r="F93" s="353"/>
      <c r="G93" s="353"/>
      <c r="H93" s="353"/>
      <c r="I93" s="145">
        <v>83</v>
      </c>
      <c r="J93" s="146"/>
      <c r="K93" s="147">
        <f>SUM(K94:K102)</f>
        <v>2225941</v>
      </c>
      <c r="L93" s="147">
        <f>SUM(L94:L102)</f>
        <v>1869484</v>
      </c>
    </row>
    <row r="94" spans="1:12" ht="13.5" customHeight="1">
      <c r="A94" s="355" t="s">
        <v>1696</v>
      </c>
      <c r="B94" s="355"/>
      <c r="C94" s="355"/>
      <c r="D94" s="355"/>
      <c r="E94" s="355"/>
      <c r="F94" s="355"/>
      <c r="G94" s="355"/>
      <c r="H94" s="355"/>
      <c r="I94" s="145">
        <v>84</v>
      </c>
      <c r="J94" s="146"/>
      <c r="K94" s="148"/>
      <c r="L94" s="148"/>
    </row>
    <row r="95" spans="1:12" ht="13.5" customHeight="1">
      <c r="A95" s="355" t="s">
        <v>1697</v>
      </c>
      <c r="B95" s="355"/>
      <c r="C95" s="355"/>
      <c r="D95" s="355"/>
      <c r="E95" s="355"/>
      <c r="F95" s="355"/>
      <c r="G95" s="355"/>
      <c r="H95" s="355"/>
      <c r="I95" s="145">
        <v>85</v>
      </c>
      <c r="J95" s="146"/>
      <c r="K95" s="148"/>
      <c r="L95" s="148"/>
    </row>
    <row r="96" spans="1:12" ht="13.5" customHeight="1">
      <c r="A96" s="355" t="s">
        <v>1698</v>
      </c>
      <c r="B96" s="355"/>
      <c r="C96" s="355"/>
      <c r="D96" s="355"/>
      <c r="E96" s="355"/>
      <c r="F96" s="355"/>
      <c r="G96" s="355"/>
      <c r="H96" s="355"/>
      <c r="I96" s="145">
        <v>86</v>
      </c>
      <c r="J96" s="146"/>
      <c r="K96" s="148">
        <v>2225941</v>
      </c>
      <c r="L96" s="148">
        <v>1869484</v>
      </c>
    </row>
    <row r="97" spans="1:12" ht="13.5" customHeight="1">
      <c r="A97" s="355" t="s">
        <v>1699</v>
      </c>
      <c r="B97" s="355"/>
      <c r="C97" s="355"/>
      <c r="D97" s="355"/>
      <c r="E97" s="355"/>
      <c r="F97" s="355"/>
      <c r="G97" s="355"/>
      <c r="H97" s="355"/>
      <c r="I97" s="145">
        <v>87</v>
      </c>
      <c r="J97" s="146"/>
      <c r="K97" s="148"/>
      <c r="L97" s="148"/>
    </row>
    <row r="98" spans="1:12" ht="13.5" customHeight="1">
      <c r="A98" s="355" t="s">
        <v>1700</v>
      </c>
      <c r="B98" s="355"/>
      <c r="C98" s="355"/>
      <c r="D98" s="355"/>
      <c r="E98" s="355"/>
      <c r="F98" s="355"/>
      <c r="G98" s="355"/>
      <c r="H98" s="355"/>
      <c r="I98" s="145">
        <v>88</v>
      </c>
      <c r="J98" s="146"/>
      <c r="K98" s="148"/>
      <c r="L98" s="148"/>
    </row>
    <row r="99" spans="1:12" ht="13.5" customHeight="1">
      <c r="A99" s="355" t="s">
        <v>1701</v>
      </c>
      <c r="B99" s="355"/>
      <c r="C99" s="355"/>
      <c r="D99" s="355"/>
      <c r="E99" s="355"/>
      <c r="F99" s="355"/>
      <c r="G99" s="355"/>
      <c r="H99" s="355"/>
      <c r="I99" s="145">
        <v>89</v>
      </c>
      <c r="J99" s="146"/>
      <c r="K99" s="148"/>
      <c r="L99" s="148"/>
    </row>
    <row r="100" spans="1:12" ht="13.5" customHeight="1">
      <c r="A100" s="355" t="s">
        <v>1702</v>
      </c>
      <c r="B100" s="355"/>
      <c r="C100" s="355"/>
      <c r="D100" s="355"/>
      <c r="E100" s="355"/>
      <c r="F100" s="355"/>
      <c r="G100" s="355"/>
      <c r="H100" s="355"/>
      <c r="I100" s="145">
        <v>90</v>
      </c>
      <c r="J100" s="146"/>
      <c r="K100" s="148"/>
      <c r="L100" s="148"/>
    </row>
    <row r="101" spans="1:12" ht="13.5" customHeight="1">
      <c r="A101" s="355" t="s">
        <v>1703</v>
      </c>
      <c r="B101" s="355"/>
      <c r="C101" s="355"/>
      <c r="D101" s="355"/>
      <c r="E101" s="355"/>
      <c r="F101" s="355"/>
      <c r="G101" s="355"/>
      <c r="H101" s="355"/>
      <c r="I101" s="145">
        <v>91</v>
      </c>
      <c r="J101" s="146"/>
      <c r="K101" s="148"/>
      <c r="L101" s="148"/>
    </row>
    <row r="102" spans="1:12" ht="13.5" customHeight="1">
      <c r="A102" s="355" t="s">
        <v>1704</v>
      </c>
      <c r="B102" s="355"/>
      <c r="C102" s="355"/>
      <c r="D102" s="355"/>
      <c r="E102" s="355"/>
      <c r="F102" s="355"/>
      <c r="G102" s="355"/>
      <c r="H102" s="355"/>
      <c r="I102" s="145">
        <v>92</v>
      </c>
      <c r="J102" s="146"/>
      <c r="K102" s="148"/>
      <c r="L102" s="148"/>
    </row>
    <row r="103" spans="1:12" ht="13.5" customHeight="1">
      <c r="A103" s="353" t="s">
        <v>1705</v>
      </c>
      <c r="B103" s="353"/>
      <c r="C103" s="353"/>
      <c r="D103" s="353"/>
      <c r="E103" s="353"/>
      <c r="F103" s="353"/>
      <c r="G103" s="353"/>
      <c r="H103" s="353"/>
      <c r="I103" s="145">
        <v>93</v>
      </c>
      <c r="J103" s="146"/>
      <c r="K103" s="147">
        <f>SUM(K104:K115)</f>
        <v>1432577</v>
      </c>
      <c r="L103" s="147">
        <f>SUM(L104:L115)</f>
        <v>1403160</v>
      </c>
    </row>
    <row r="104" spans="1:12" ht="13.5" customHeight="1">
      <c r="A104" s="355" t="s">
        <v>1696</v>
      </c>
      <c r="B104" s="355"/>
      <c r="C104" s="355"/>
      <c r="D104" s="355"/>
      <c r="E104" s="355"/>
      <c r="F104" s="355"/>
      <c r="G104" s="355"/>
      <c r="H104" s="355"/>
      <c r="I104" s="145">
        <v>94</v>
      </c>
      <c r="J104" s="146"/>
      <c r="K104" s="148">
        <v>265</v>
      </c>
      <c r="L104" s="148">
        <v>889</v>
      </c>
    </row>
    <row r="105" spans="1:12" ht="13.5" customHeight="1">
      <c r="A105" s="355" t="s">
        <v>1697</v>
      </c>
      <c r="B105" s="355"/>
      <c r="C105" s="355"/>
      <c r="D105" s="355"/>
      <c r="E105" s="355"/>
      <c r="F105" s="355"/>
      <c r="G105" s="355"/>
      <c r="H105" s="355"/>
      <c r="I105" s="145">
        <v>95</v>
      </c>
      <c r="J105" s="146"/>
      <c r="K105" s="148"/>
      <c r="L105" s="148"/>
    </row>
    <row r="106" spans="1:12" ht="13.5" customHeight="1">
      <c r="A106" s="355" t="s">
        <v>1698</v>
      </c>
      <c r="B106" s="355"/>
      <c r="C106" s="355"/>
      <c r="D106" s="355"/>
      <c r="E106" s="355"/>
      <c r="F106" s="355"/>
      <c r="G106" s="355"/>
      <c r="H106" s="355"/>
      <c r="I106" s="145">
        <v>96</v>
      </c>
      <c r="J106" s="146"/>
      <c r="K106" s="148"/>
      <c r="L106" s="148"/>
    </row>
    <row r="107" spans="1:12" ht="13.5" customHeight="1">
      <c r="A107" s="355" t="s">
        <v>1699</v>
      </c>
      <c r="B107" s="355"/>
      <c r="C107" s="355"/>
      <c r="D107" s="355"/>
      <c r="E107" s="355"/>
      <c r="F107" s="355"/>
      <c r="G107" s="355"/>
      <c r="H107" s="355"/>
      <c r="I107" s="145">
        <v>97</v>
      </c>
      <c r="J107" s="146"/>
      <c r="K107" s="148"/>
      <c r="L107" s="148"/>
    </row>
    <row r="108" spans="1:12" ht="13.5" customHeight="1">
      <c r="A108" s="355" t="s">
        <v>1700</v>
      </c>
      <c r="B108" s="355"/>
      <c r="C108" s="355"/>
      <c r="D108" s="355"/>
      <c r="E108" s="355"/>
      <c r="F108" s="355"/>
      <c r="G108" s="355"/>
      <c r="H108" s="355"/>
      <c r="I108" s="145">
        <v>98</v>
      </c>
      <c r="J108" s="146"/>
      <c r="K108" s="148">
        <v>939367</v>
      </c>
      <c r="L108" s="148">
        <v>842363</v>
      </c>
    </row>
    <row r="109" spans="1:12" ht="13.5" customHeight="1">
      <c r="A109" s="355" t="s">
        <v>1701</v>
      </c>
      <c r="B109" s="355"/>
      <c r="C109" s="355"/>
      <c r="D109" s="355"/>
      <c r="E109" s="355"/>
      <c r="F109" s="355"/>
      <c r="G109" s="355"/>
      <c r="H109" s="355"/>
      <c r="I109" s="145">
        <v>99</v>
      </c>
      <c r="J109" s="146"/>
      <c r="K109" s="148"/>
      <c r="L109" s="148"/>
    </row>
    <row r="110" spans="1:12" ht="13.5" customHeight="1">
      <c r="A110" s="355" t="s">
        <v>1702</v>
      </c>
      <c r="B110" s="355"/>
      <c r="C110" s="355"/>
      <c r="D110" s="355"/>
      <c r="E110" s="355"/>
      <c r="F110" s="355"/>
      <c r="G110" s="355"/>
      <c r="H110" s="355"/>
      <c r="I110" s="145">
        <v>100</v>
      </c>
      <c r="J110" s="146"/>
      <c r="K110" s="148"/>
      <c r="L110" s="148"/>
    </row>
    <row r="111" spans="1:12" ht="13.5" customHeight="1">
      <c r="A111" s="355" t="s">
        <v>1706</v>
      </c>
      <c r="B111" s="355"/>
      <c r="C111" s="355"/>
      <c r="D111" s="355"/>
      <c r="E111" s="355"/>
      <c r="F111" s="355"/>
      <c r="G111" s="355"/>
      <c r="H111" s="355"/>
      <c r="I111" s="145">
        <v>101</v>
      </c>
      <c r="J111" s="146"/>
      <c r="K111" s="148">
        <v>213740</v>
      </c>
      <c r="L111" s="148">
        <v>257972</v>
      </c>
    </row>
    <row r="112" spans="1:12" ht="13.5" customHeight="1">
      <c r="A112" s="355" t="s">
        <v>1707</v>
      </c>
      <c r="B112" s="355"/>
      <c r="C112" s="355"/>
      <c r="D112" s="355"/>
      <c r="E112" s="355"/>
      <c r="F112" s="355"/>
      <c r="G112" s="355"/>
      <c r="H112" s="355"/>
      <c r="I112" s="145">
        <v>102</v>
      </c>
      <c r="J112" s="146"/>
      <c r="K112" s="148">
        <v>235931</v>
      </c>
      <c r="L112" s="148">
        <v>269073</v>
      </c>
    </row>
    <row r="113" spans="1:12" ht="13.5" customHeight="1">
      <c r="A113" s="355" t="s">
        <v>1708</v>
      </c>
      <c r="B113" s="355"/>
      <c r="C113" s="355"/>
      <c r="D113" s="355"/>
      <c r="E113" s="355"/>
      <c r="F113" s="355"/>
      <c r="G113" s="355"/>
      <c r="H113" s="355"/>
      <c r="I113" s="145">
        <v>103</v>
      </c>
      <c r="J113" s="146"/>
      <c r="K113" s="148"/>
      <c r="L113" s="148"/>
    </row>
    <row r="114" spans="1:12" ht="13.5" customHeight="1">
      <c r="A114" s="355" t="s">
        <v>1709</v>
      </c>
      <c r="B114" s="355"/>
      <c r="C114" s="355"/>
      <c r="D114" s="355"/>
      <c r="E114" s="355"/>
      <c r="F114" s="355"/>
      <c r="G114" s="355"/>
      <c r="H114" s="355"/>
      <c r="I114" s="145">
        <v>104</v>
      </c>
      <c r="J114" s="146"/>
      <c r="K114" s="148"/>
      <c r="L114" s="148"/>
    </row>
    <row r="115" spans="1:12" ht="13.5" customHeight="1">
      <c r="A115" s="355" t="s">
        <v>1710</v>
      </c>
      <c r="B115" s="355"/>
      <c r="C115" s="355"/>
      <c r="D115" s="355"/>
      <c r="E115" s="355"/>
      <c r="F115" s="355"/>
      <c r="G115" s="355"/>
      <c r="H115" s="355"/>
      <c r="I115" s="145">
        <v>105</v>
      </c>
      <c r="J115" s="146"/>
      <c r="K115" s="148">
        <v>43274</v>
      </c>
      <c r="L115" s="148">
        <v>32863</v>
      </c>
    </row>
    <row r="116" spans="1:12" ht="13.5" customHeight="1">
      <c r="A116" s="353" t="s">
        <v>1711</v>
      </c>
      <c r="B116" s="353"/>
      <c r="C116" s="353"/>
      <c r="D116" s="353"/>
      <c r="E116" s="353"/>
      <c r="F116" s="353"/>
      <c r="G116" s="353"/>
      <c r="H116" s="353"/>
      <c r="I116" s="145">
        <v>106</v>
      </c>
      <c r="J116" s="146"/>
      <c r="K116" s="148">
        <v>139007</v>
      </c>
      <c r="L116" s="148">
        <v>139007</v>
      </c>
    </row>
    <row r="117" spans="1:12" ht="13.5" customHeight="1">
      <c r="A117" s="353" t="s">
        <v>1712</v>
      </c>
      <c r="B117" s="353"/>
      <c r="C117" s="353"/>
      <c r="D117" s="353"/>
      <c r="E117" s="353"/>
      <c r="F117" s="353"/>
      <c r="G117" s="353"/>
      <c r="H117" s="353"/>
      <c r="I117" s="145">
        <v>107</v>
      </c>
      <c r="J117" s="146"/>
      <c r="K117" s="147">
        <f>K72+K89+K93+K103+K116</f>
        <v>6648276</v>
      </c>
      <c r="L117" s="147">
        <f>L72+L89+L93+L103+L116</f>
        <v>6324508</v>
      </c>
    </row>
    <row r="118" spans="1:12" ht="13.5" customHeight="1">
      <c r="A118" s="361" t="s">
        <v>1713</v>
      </c>
      <c r="B118" s="361"/>
      <c r="C118" s="361"/>
      <c r="D118" s="361"/>
      <c r="E118" s="361"/>
      <c r="F118" s="361"/>
      <c r="G118" s="361"/>
      <c r="H118" s="361"/>
      <c r="I118" s="149">
        <v>108</v>
      </c>
      <c r="J118" s="146"/>
      <c r="K118" s="151"/>
      <c r="L118" s="151"/>
    </row>
    <row r="119" spans="1:12" ht="13.5" customHeight="1">
      <c r="A119" s="357" t="s">
        <v>1714</v>
      </c>
      <c r="B119" s="357"/>
      <c r="C119" s="357"/>
      <c r="D119" s="357"/>
      <c r="E119" s="357"/>
      <c r="F119" s="357"/>
      <c r="G119" s="357"/>
      <c r="H119" s="357"/>
      <c r="I119" s="357"/>
      <c r="J119" s="357"/>
      <c r="K119" s="357"/>
      <c r="L119" s="357"/>
    </row>
    <row r="120" spans="1:12" ht="13.5" customHeight="1">
      <c r="A120" s="362" t="s">
        <v>1715</v>
      </c>
      <c r="B120" s="362"/>
      <c r="C120" s="362"/>
      <c r="D120" s="362"/>
      <c r="E120" s="362"/>
      <c r="F120" s="362"/>
      <c r="G120" s="362"/>
      <c r="H120" s="362"/>
      <c r="I120" s="362"/>
      <c r="J120" s="362"/>
      <c r="K120" s="362"/>
      <c r="L120" s="362"/>
    </row>
    <row r="121" spans="1:12" ht="13.5" customHeight="1">
      <c r="A121" s="363" t="s">
        <v>1716</v>
      </c>
      <c r="B121" s="363"/>
      <c r="C121" s="363"/>
      <c r="D121" s="363"/>
      <c r="E121" s="363"/>
      <c r="F121" s="363"/>
      <c r="G121" s="363"/>
      <c r="H121" s="363"/>
      <c r="I121" s="153">
        <v>109</v>
      </c>
      <c r="J121" s="154"/>
      <c r="K121" s="148"/>
      <c r="L121" s="148"/>
    </row>
    <row r="122" spans="1:12" ht="13.5" customHeight="1">
      <c r="A122" s="359" t="s">
        <v>1717</v>
      </c>
      <c r="B122" s="359"/>
      <c r="C122" s="359"/>
      <c r="D122" s="359"/>
      <c r="E122" s="359"/>
      <c r="F122" s="359"/>
      <c r="G122" s="359"/>
      <c r="H122" s="359"/>
      <c r="I122" s="155">
        <v>110</v>
      </c>
      <c r="J122" s="156"/>
      <c r="K122" s="151"/>
      <c r="L122" s="151"/>
    </row>
    <row r="123" ht="4.5" customHeight="1"/>
    <row r="124" spans="1:12" ht="12" customHeight="1">
      <c r="A124" s="360" t="s">
        <v>1718</v>
      </c>
      <c r="B124" s="360"/>
      <c r="C124" s="360"/>
      <c r="D124" s="360"/>
      <c r="E124" s="360"/>
      <c r="F124" s="360"/>
      <c r="G124" s="360"/>
      <c r="H124" s="360"/>
      <c r="I124" s="360"/>
      <c r="J124" s="360"/>
      <c r="K124" s="360"/>
      <c r="L124" s="360"/>
    </row>
    <row r="125" spans="1:12" ht="12.75" customHeight="1" hidden="1">
      <c r="A125" s="360"/>
      <c r="B125" s="360"/>
      <c r="C125" s="360"/>
      <c r="D125" s="360"/>
      <c r="E125" s="360"/>
      <c r="F125" s="360"/>
      <c r="G125" s="360"/>
      <c r="H125" s="360"/>
      <c r="I125" s="360"/>
      <c r="J125" s="360"/>
      <c r="K125" s="360"/>
      <c r="L125" s="360"/>
    </row>
    <row r="126" ht="4.5" customHeight="1"/>
  </sheetData>
  <sheetProtection sheet="1" objects="1" scenarios="1"/>
  <mergeCells count="123">
    <mergeCell ref="A122:H122"/>
    <mergeCell ref="A124:L124"/>
    <mergeCell ref="A125:L125"/>
    <mergeCell ref="A116:H116"/>
    <mergeCell ref="A117:H117"/>
    <mergeCell ref="A118:H118"/>
    <mergeCell ref="A119:L119"/>
    <mergeCell ref="A120:L120"/>
    <mergeCell ref="A121:H121"/>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H69"/>
    <mergeCell ref="A70:H70"/>
    <mergeCell ref="A71:L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3" activePane="bottomLeft" state="frozen"/>
      <selection pane="topLeft" activeCell="A1" sqref="A1"/>
      <selection pane="bottomLeft" activeCell="K8" sqref="K8"/>
    </sheetView>
  </sheetViews>
  <sheetFormatPr defaultColWidth="0" defaultRowHeight="12.75" zeroHeight="1"/>
  <cols>
    <col min="1" max="10" width="7.7109375" style="0" customWidth="1"/>
    <col min="11" max="12" width="14.7109375" style="0" customWidth="1"/>
    <col min="13" max="13" width="0.85546875" style="0" customWidth="1"/>
    <col min="14" max="15" width="0" style="0" hidden="1" customWidth="1"/>
    <col min="16" max="17" width="0" style="157" hidden="1" customWidth="1"/>
    <col min="18"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133"/>
      <c r="L1" s="72"/>
      <c r="M1" s="72"/>
      <c r="N1" t="s">
        <v>1719</v>
      </c>
      <c r="Q1" s="72">
        <f>IF(OR(MIN(K9:L73)&lt;0,MAX(K9:L73)&gt;0),1,0)</f>
        <v>1</v>
      </c>
      <c r="R1" s="72" t="s">
        <v>1604</v>
      </c>
    </row>
    <row r="2" spans="1:18" s="72" customFormat="1" ht="19.5" customHeight="1">
      <c r="A2" s="258"/>
      <c r="B2" s="258"/>
      <c r="C2" s="33" t="s">
        <v>105</v>
      </c>
      <c r="D2" s="34" t="s">
        <v>106</v>
      </c>
      <c r="E2" s="34" t="s">
        <v>107</v>
      </c>
      <c r="F2" s="34" t="s">
        <v>108</v>
      </c>
      <c r="G2" s="34" t="s">
        <v>109</v>
      </c>
      <c r="H2" s="34" t="s">
        <v>110</v>
      </c>
      <c r="I2" s="35" t="s">
        <v>111</v>
      </c>
      <c r="J2" s="36"/>
      <c r="K2" s="10"/>
      <c r="L2"/>
      <c r="M2"/>
      <c r="Q2" s="134">
        <f>IF(OR(MIN(K9:K73)&lt;0,MAX(K9:K73)&gt;0),1,0)</f>
        <v>1</v>
      </c>
      <c r="R2" s="72" t="s">
        <v>1605</v>
      </c>
    </row>
    <row r="3" spans="1:18" s="72" customFormat="1" ht="19.5" customHeight="1">
      <c r="A3" s="345" t="s">
        <v>1720</v>
      </c>
      <c r="B3" s="345"/>
      <c r="C3" s="345"/>
      <c r="D3" s="345"/>
      <c r="E3" s="345"/>
      <c r="F3" s="345"/>
      <c r="G3" s="345"/>
      <c r="H3" s="345"/>
      <c r="I3" s="345"/>
      <c r="J3" s="345"/>
      <c r="K3" s="345"/>
      <c r="L3" s="346" t="s">
        <v>1721</v>
      </c>
      <c r="Q3" s="134">
        <f>IF(OR(MIN(L9:L73)&lt;0,MAX(L9:L73)&gt;0),1,0)</f>
        <v>1</v>
      </c>
      <c r="R3" s="72" t="s">
        <v>1608</v>
      </c>
    </row>
    <row r="4" spans="1:12" s="72" customFormat="1" ht="19.5" customHeight="1">
      <c r="A4" s="347" t="str">
        <f>"za razdoblje "&amp;IF(Opci!E5&lt;&gt;"",TEXT(Opci!E5,"DD.MM.YYYY."),"__.__.____.")&amp;" do "&amp;IF(Opci!H5&lt;&gt;"",TEXT(Opci!H5,"DD.MM.YYYY."),"__.__.____.")</f>
        <v>za razdoblje 01.01.2014. do 31.12.2014.</v>
      </c>
      <c r="B4" s="347"/>
      <c r="C4" s="347"/>
      <c r="D4" s="347"/>
      <c r="E4" s="347"/>
      <c r="F4" s="347"/>
      <c r="G4" s="347"/>
      <c r="H4" s="347"/>
      <c r="I4" s="347"/>
      <c r="J4" s="347"/>
      <c r="K4" s="347"/>
      <c r="L4" s="346"/>
    </row>
    <row r="5" spans="1:12" s="72" customFormat="1" ht="4.5" customHeight="1">
      <c r="A5" s="158"/>
      <c r="B5" s="159"/>
      <c r="C5" s="159"/>
      <c r="D5" s="159"/>
      <c r="E5" s="159"/>
      <c r="F5" s="159"/>
      <c r="G5" s="159"/>
      <c r="H5" s="159"/>
      <c r="I5" s="159"/>
      <c r="J5" s="159"/>
      <c r="K5" s="159"/>
      <c r="L5" s="160"/>
    </row>
    <row r="6" spans="1:18" s="72" customFormat="1" ht="19.5" customHeight="1">
      <c r="A6" s="364" t="str">
        <f>"Obveznik: "&amp;IF(Opci!C23&lt;&gt;"",Opci!C23,"________")&amp;"; "&amp;IF(Opci!C25&lt;&gt;"",Opci!C25,"_____________________________________________________________"&amp;"; "&amp;IF(Opci!F27&lt;&gt;"",Opci!F27,"_______________"))</f>
        <v>Obveznik: 26211106548; STAMBENO KOMUNALNO GOSPODARSTVO D.O.O.</v>
      </c>
      <c r="B6" s="364"/>
      <c r="C6" s="364"/>
      <c r="D6" s="364"/>
      <c r="E6" s="364"/>
      <c r="F6" s="364"/>
      <c r="G6" s="364"/>
      <c r="H6" s="364"/>
      <c r="I6" s="364"/>
      <c r="J6" s="364"/>
      <c r="K6" s="364"/>
      <c r="L6" s="364"/>
      <c r="Q6" s="72">
        <f>IF(OR(MIN(K55:K56,K72:K73)&lt;0,MAX(K55:K56,K72:K73)&gt;0),1,0)</f>
        <v>0</v>
      </c>
      <c r="R6" s="72" t="s">
        <v>1609</v>
      </c>
    </row>
    <row r="7" spans="1:18" s="72" customFormat="1" ht="24.75" customHeight="1">
      <c r="A7" s="349" t="s">
        <v>1610</v>
      </c>
      <c r="B7" s="349"/>
      <c r="C7" s="349"/>
      <c r="D7" s="349"/>
      <c r="E7" s="349"/>
      <c r="F7" s="349"/>
      <c r="G7" s="349"/>
      <c r="H7" s="349"/>
      <c r="I7" s="137" t="s">
        <v>1722</v>
      </c>
      <c r="J7" s="137" t="s">
        <v>1612</v>
      </c>
      <c r="K7" s="139" t="s">
        <v>1723</v>
      </c>
      <c r="L7" s="139" t="s">
        <v>1724</v>
      </c>
      <c r="Q7" s="72">
        <f>IF(OR(MIN(L55:L56,L72:L73)&lt;0,MAX(L55:L56,L72:L73)&gt;0),1,0)</f>
        <v>0</v>
      </c>
      <c r="R7" s="72" t="s">
        <v>1615</v>
      </c>
    </row>
    <row r="8" spans="1:18" s="72" customFormat="1" ht="13.5" customHeight="1">
      <c r="A8" s="350">
        <v>1</v>
      </c>
      <c r="B8" s="350"/>
      <c r="C8" s="350"/>
      <c r="D8" s="350"/>
      <c r="E8" s="350"/>
      <c r="F8" s="350"/>
      <c r="G8" s="350"/>
      <c r="H8" s="350"/>
      <c r="I8" s="141">
        <v>2</v>
      </c>
      <c r="J8" s="141">
        <v>3</v>
      </c>
      <c r="K8" s="140">
        <v>4</v>
      </c>
      <c r="L8" s="140">
        <v>5</v>
      </c>
      <c r="Q8" s="72">
        <f>IF(OR(MIN(RDG!K58:L69)&lt;0,MAX(RDG!K58:L69)&gt;0),1,0)</f>
        <v>0</v>
      </c>
      <c r="R8" s="72" t="s">
        <v>1725</v>
      </c>
    </row>
    <row r="9" spans="1:12" s="72" customFormat="1" ht="13.5" customHeight="1">
      <c r="A9" s="352" t="s">
        <v>1726</v>
      </c>
      <c r="B9" s="352"/>
      <c r="C9" s="352"/>
      <c r="D9" s="352"/>
      <c r="E9" s="352"/>
      <c r="F9" s="352"/>
      <c r="G9" s="352"/>
      <c r="H9" s="352"/>
      <c r="I9" s="142">
        <v>111</v>
      </c>
      <c r="J9" s="143"/>
      <c r="K9" s="152">
        <f>SUM(K10:K11)</f>
        <v>8234398</v>
      </c>
      <c r="L9" s="152">
        <f>SUM(L10:L11)</f>
        <v>7748015</v>
      </c>
    </row>
    <row r="10" spans="1:12" s="72" customFormat="1" ht="13.5" customHeight="1">
      <c r="A10" s="353" t="s">
        <v>1727</v>
      </c>
      <c r="B10" s="353"/>
      <c r="C10" s="353"/>
      <c r="D10" s="353"/>
      <c r="E10" s="353"/>
      <c r="F10" s="353"/>
      <c r="G10" s="353"/>
      <c r="H10" s="353"/>
      <c r="I10" s="145">
        <v>112</v>
      </c>
      <c r="J10" s="146"/>
      <c r="K10" s="148">
        <v>7745795</v>
      </c>
      <c r="L10" s="148">
        <v>7644699</v>
      </c>
    </row>
    <row r="11" spans="1:12" s="72" customFormat="1" ht="13.5" customHeight="1">
      <c r="A11" s="353" t="s">
        <v>1728</v>
      </c>
      <c r="B11" s="353"/>
      <c r="C11" s="353"/>
      <c r="D11" s="353"/>
      <c r="E11" s="353"/>
      <c r="F11" s="353"/>
      <c r="G11" s="353"/>
      <c r="H11" s="353"/>
      <c r="I11" s="145">
        <v>113</v>
      </c>
      <c r="J11" s="146"/>
      <c r="K11" s="148">
        <v>488603</v>
      </c>
      <c r="L11" s="148">
        <v>103316</v>
      </c>
    </row>
    <row r="12" spans="1:12" s="72" customFormat="1" ht="13.5" customHeight="1">
      <c r="A12" s="353" t="s">
        <v>1729</v>
      </c>
      <c r="B12" s="353"/>
      <c r="C12" s="353"/>
      <c r="D12" s="353"/>
      <c r="E12" s="353"/>
      <c r="F12" s="353"/>
      <c r="G12" s="353"/>
      <c r="H12" s="353"/>
      <c r="I12" s="145">
        <v>114</v>
      </c>
      <c r="J12" s="146"/>
      <c r="K12" s="147">
        <f>K13+K14+K18+K22+K23+K24+K27+K28</f>
        <v>8103892</v>
      </c>
      <c r="L12" s="147">
        <f>L13+L14+L18+L22+L23+L24+L27+L28</f>
        <v>7592490</v>
      </c>
    </row>
    <row r="13" spans="1:12" s="72" customFormat="1" ht="15" customHeight="1">
      <c r="A13" s="353" t="s">
        <v>1730</v>
      </c>
      <c r="B13" s="353"/>
      <c r="C13" s="353"/>
      <c r="D13" s="353"/>
      <c r="E13" s="353"/>
      <c r="F13" s="353"/>
      <c r="G13" s="353"/>
      <c r="H13" s="353"/>
      <c r="I13" s="145">
        <v>115</v>
      </c>
      <c r="J13" s="146"/>
      <c r="K13" s="148"/>
      <c r="L13" s="148"/>
    </row>
    <row r="14" spans="1:12" s="72" customFormat="1" ht="13.5" customHeight="1">
      <c r="A14" s="353" t="s">
        <v>1731</v>
      </c>
      <c r="B14" s="353"/>
      <c r="C14" s="353"/>
      <c r="D14" s="353"/>
      <c r="E14" s="353"/>
      <c r="F14" s="353"/>
      <c r="G14" s="353"/>
      <c r="H14" s="353"/>
      <c r="I14" s="145">
        <v>116</v>
      </c>
      <c r="J14" s="146"/>
      <c r="K14" s="147">
        <f>SUM(K15:K17)</f>
        <v>3099005</v>
      </c>
      <c r="L14" s="147">
        <f>SUM(L15:L17)</f>
        <v>2428195</v>
      </c>
    </row>
    <row r="15" spans="1:12" s="72" customFormat="1" ht="13.5" customHeight="1">
      <c r="A15" s="355" t="s">
        <v>1732</v>
      </c>
      <c r="B15" s="355"/>
      <c r="C15" s="355"/>
      <c r="D15" s="355"/>
      <c r="E15" s="355"/>
      <c r="F15" s="355"/>
      <c r="G15" s="355"/>
      <c r="H15" s="355"/>
      <c r="I15" s="145">
        <v>117</v>
      </c>
      <c r="J15" s="146"/>
      <c r="K15" s="148">
        <v>1972658</v>
      </c>
      <c r="L15" s="148">
        <v>1454178</v>
      </c>
    </row>
    <row r="16" spans="1:12" s="72" customFormat="1" ht="13.5" customHeight="1">
      <c r="A16" s="355" t="s">
        <v>1733</v>
      </c>
      <c r="B16" s="355"/>
      <c r="C16" s="355"/>
      <c r="D16" s="355"/>
      <c r="E16" s="355"/>
      <c r="F16" s="355"/>
      <c r="G16" s="355"/>
      <c r="H16" s="355"/>
      <c r="I16" s="145">
        <v>118</v>
      </c>
      <c r="J16" s="146"/>
      <c r="K16" s="148">
        <v>144872</v>
      </c>
      <c r="L16" s="148">
        <v>152499</v>
      </c>
    </row>
    <row r="17" spans="1:12" s="72" customFormat="1" ht="13.5" customHeight="1">
      <c r="A17" s="355" t="s">
        <v>1734</v>
      </c>
      <c r="B17" s="355"/>
      <c r="C17" s="355"/>
      <c r="D17" s="355"/>
      <c r="E17" s="355"/>
      <c r="F17" s="355"/>
      <c r="G17" s="355"/>
      <c r="H17" s="355"/>
      <c r="I17" s="145">
        <v>119</v>
      </c>
      <c r="J17" s="146"/>
      <c r="K17" s="148">
        <v>981475</v>
      </c>
      <c r="L17" s="148">
        <v>821518</v>
      </c>
    </row>
    <row r="18" spans="1:12" s="72" customFormat="1" ht="13.5" customHeight="1">
      <c r="A18" s="353" t="s">
        <v>1735</v>
      </c>
      <c r="B18" s="353"/>
      <c r="C18" s="353"/>
      <c r="D18" s="353"/>
      <c r="E18" s="353"/>
      <c r="F18" s="353"/>
      <c r="G18" s="353"/>
      <c r="H18" s="353"/>
      <c r="I18" s="145">
        <v>120</v>
      </c>
      <c r="J18" s="146"/>
      <c r="K18" s="147">
        <f>SUM(K19:K21)</f>
        <v>4433062</v>
      </c>
      <c r="L18" s="147">
        <f>SUM(L19:L21)</f>
        <v>4635425</v>
      </c>
    </row>
    <row r="19" spans="1:12" s="72" customFormat="1" ht="13.5" customHeight="1">
      <c r="A19" s="355" t="s">
        <v>1736</v>
      </c>
      <c r="B19" s="355"/>
      <c r="C19" s="355"/>
      <c r="D19" s="355"/>
      <c r="E19" s="355"/>
      <c r="F19" s="355"/>
      <c r="G19" s="355"/>
      <c r="H19" s="355"/>
      <c r="I19" s="145">
        <v>121</v>
      </c>
      <c r="J19" s="146"/>
      <c r="K19" s="148">
        <v>3059711</v>
      </c>
      <c r="L19" s="148">
        <v>3186589</v>
      </c>
    </row>
    <row r="20" spans="1:12" s="72" customFormat="1" ht="13.5" customHeight="1">
      <c r="A20" s="355" t="s">
        <v>1737</v>
      </c>
      <c r="B20" s="355"/>
      <c r="C20" s="355"/>
      <c r="D20" s="355"/>
      <c r="E20" s="355"/>
      <c r="F20" s="355"/>
      <c r="G20" s="355"/>
      <c r="H20" s="355"/>
      <c r="I20" s="145">
        <v>122</v>
      </c>
      <c r="J20" s="146"/>
      <c r="K20" s="148">
        <v>863906</v>
      </c>
      <c r="L20" s="148">
        <v>874088</v>
      </c>
    </row>
    <row r="21" spans="1:12" s="72" customFormat="1" ht="13.5" customHeight="1">
      <c r="A21" s="355" t="s">
        <v>1738</v>
      </c>
      <c r="B21" s="355"/>
      <c r="C21" s="355"/>
      <c r="D21" s="355"/>
      <c r="E21" s="355"/>
      <c r="F21" s="355"/>
      <c r="G21" s="355"/>
      <c r="H21" s="355"/>
      <c r="I21" s="145">
        <v>123</v>
      </c>
      <c r="J21" s="146"/>
      <c r="K21" s="148">
        <v>509445</v>
      </c>
      <c r="L21" s="148">
        <v>574748</v>
      </c>
    </row>
    <row r="22" spans="1:12" s="72" customFormat="1" ht="13.5" customHeight="1">
      <c r="A22" s="353" t="s">
        <v>1739</v>
      </c>
      <c r="B22" s="353"/>
      <c r="C22" s="353"/>
      <c r="D22" s="353"/>
      <c r="E22" s="353"/>
      <c r="F22" s="353"/>
      <c r="G22" s="353"/>
      <c r="H22" s="353"/>
      <c r="I22" s="145">
        <v>124</v>
      </c>
      <c r="J22" s="146"/>
      <c r="K22" s="148">
        <v>444639</v>
      </c>
      <c r="L22" s="148">
        <v>400929</v>
      </c>
    </row>
    <row r="23" spans="1:12" s="72" customFormat="1" ht="13.5" customHeight="1">
      <c r="A23" s="353" t="s">
        <v>1740</v>
      </c>
      <c r="B23" s="353"/>
      <c r="C23" s="353"/>
      <c r="D23" s="353"/>
      <c r="E23" s="353"/>
      <c r="F23" s="353"/>
      <c r="G23" s="353"/>
      <c r="H23" s="353"/>
      <c r="I23" s="145">
        <v>125</v>
      </c>
      <c r="J23" s="146"/>
      <c r="K23" s="148">
        <v>127186</v>
      </c>
      <c r="L23" s="148">
        <v>127941</v>
      </c>
    </row>
    <row r="24" spans="1:12" s="72" customFormat="1" ht="13.5" customHeight="1">
      <c r="A24" s="353" t="s">
        <v>1741</v>
      </c>
      <c r="B24" s="353"/>
      <c r="C24" s="353"/>
      <c r="D24" s="353"/>
      <c r="E24" s="353"/>
      <c r="F24" s="353"/>
      <c r="G24" s="353"/>
      <c r="H24" s="353"/>
      <c r="I24" s="145">
        <v>126</v>
      </c>
      <c r="J24" s="146"/>
      <c r="K24" s="147">
        <f>SUM(K25:K26)</f>
        <v>0</v>
      </c>
      <c r="L24" s="147">
        <f>SUM(L25:L26)</f>
        <v>0</v>
      </c>
    </row>
    <row r="25" spans="1:12" s="72" customFormat="1" ht="13.5" customHeight="1">
      <c r="A25" s="355" t="s">
        <v>1742</v>
      </c>
      <c r="B25" s="355"/>
      <c r="C25" s="355"/>
      <c r="D25" s="355"/>
      <c r="E25" s="355"/>
      <c r="F25" s="355"/>
      <c r="G25" s="355"/>
      <c r="H25" s="355"/>
      <c r="I25" s="145">
        <v>127</v>
      </c>
      <c r="J25" s="146"/>
      <c r="K25" s="148"/>
      <c r="L25" s="148"/>
    </row>
    <row r="26" spans="1:12" s="72" customFormat="1" ht="13.5" customHeight="1">
      <c r="A26" s="355" t="s">
        <v>1743</v>
      </c>
      <c r="B26" s="355"/>
      <c r="C26" s="355"/>
      <c r="D26" s="355"/>
      <c r="E26" s="355"/>
      <c r="F26" s="355"/>
      <c r="G26" s="355"/>
      <c r="H26" s="355"/>
      <c r="I26" s="145">
        <v>128</v>
      </c>
      <c r="J26" s="146"/>
      <c r="K26" s="148"/>
      <c r="L26" s="148"/>
    </row>
    <row r="27" spans="1:12" s="72" customFormat="1" ht="13.5" customHeight="1">
      <c r="A27" s="353" t="s">
        <v>1744</v>
      </c>
      <c r="B27" s="353"/>
      <c r="C27" s="353"/>
      <c r="D27" s="353"/>
      <c r="E27" s="353"/>
      <c r="F27" s="353"/>
      <c r="G27" s="353"/>
      <c r="H27" s="353"/>
      <c r="I27" s="145">
        <v>129</v>
      </c>
      <c r="J27" s="146"/>
      <c r="K27" s="148"/>
      <c r="L27" s="148"/>
    </row>
    <row r="28" spans="1:12" s="72" customFormat="1" ht="13.5" customHeight="1">
      <c r="A28" s="353" t="s">
        <v>1745</v>
      </c>
      <c r="B28" s="353"/>
      <c r="C28" s="353"/>
      <c r="D28" s="353"/>
      <c r="E28" s="353"/>
      <c r="F28" s="353"/>
      <c r="G28" s="353"/>
      <c r="H28" s="353"/>
      <c r="I28" s="145">
        <v>130</v>
      </c>
      <c r="J28" s="146"/>
      <c r="K28" s="148"/>
      <c r="L28" s="148"/>
    </row>
    <row r="29" spans="1:12" s="72" customFormat="1" ht="13.5" customHeight="1">
      <c r="A29" s="353" t="s">
        <v>1746</v>
      </c>
      <c r="B29" s="353"/>
      <c r="C29" s="353"/>
      <c r="D29" s="353"/>
      <c r="E29" s="353"/>
      <c r="F29" s="353"/>
      <c r="G29" s="353"/>
      <c r="H29" s="353"/>
      <c r="I29" s="145">
        <v>131</v>
      </c>
      <c r="J29" s="146"/>
      <c r="K29" s="147">
        <f>SUM(K30:K34)</f>
        <v>83604</v>
      </c>
      <c r="L29" s="147">
        <f>SUM(L30:L34)</f>
        <v>83929</v>
      </c>
    </row>
    <row r="30" spans="1:12" s="72" customFormat="1" ht="27.75" customHeight="1">
      <c r="A30" s="353" t="s">
        <v>1747</v>
      </c>
      <c r="B30" s="353"/>
      <c r="C30" s="353"/>
      <c r="D30" s="353"/>
      <c r="E30" s="353"/>
      <c r="F30" s="353"/>
      <c r="G30" s="353"/>
      <c r="H30" s="353"/>
      <c r="I30" s="145">
        <v>132</v>
      </c>
      <c r="J30" s="146"/>
      <c r="K30" s="148">
        <v>83604</v>
      </c>
      <c r="L30" s="148">
        <v>83929</v>
      </c>
    </row>
    <row r="31" spans="1:12" s="72" customFormat="1" ht="27.75" customHeight="1">
      <c r="A31" s="353" t="s">
        <v>1748</v>
      </c>
      <c r="B31" s="353"/>
      <c r="C31" s="353"/>
      <c r="D31" s="353"/>
      <c r="E31" s="353"/>
      <c r="F31" s="353"/>
      <c r="G31" s="353"/>
      <c r="H31" s="353"/>
      <c r="I31" s="145">
        <v>133</v>
      </c>
      <c r="J31" s="146"/>
      <c r="K31" s="148"/>
      <c r="L31" s="148"/>
    </row>
    <row r="32" spans="1:12" s="72" customFormat="1" ht="13.5" customHeight="1">
      <c r="A32" s="353" t="s">
        <v>1749</v>
      </c>
      <c r="B32" s="353"/>
      <c r="C32" s="353"/>
      <c r="D32" s="353"/>
      <c r="E32" s="353"/>
      <c r="F32" s="353"/>
      <c r="G32" s="353"/>
      <c r="H32" s="353"/>
      <c r="I32" s="145">
        <v>134</v>
      </c>
      <c r="J32" s="146"/>
      <c r="K32" s="148"/>
      <c r="L32" s="148"/>
    </row>
    <row r="33" spans="1:12" s="72" customFormat="1" ht="13.5" customHeight="1">
      <c r="A33" s="353" t="s">
        <v>1750</v>
      </c>
      <c r="B33" s="353"/>
      <c r="C33" s="353"/>
      <c r="D33" s="353"/>
      <c r="E33" s="353"/>
      <c r="F33" s="353"/>
      <c r="G33" s="353"/>
      <c r="H33" s="353"/>
      <c r="I33" s="145">
        <v>135</v>
      </c>
      <c r="J33" s="146"/>
      <c r="K33" s="148"/>
      <c r="L33" s="148"/>
    </row>
    <row r="34" spans="1:12" s="72" customFormat="1" ht="13.5" customHeight="1">
      <c r="A34" s="353" t="s">
        <v>1751</v>
      </c>
      <c r="B34" s="353"/>
      <c r="C34" s="353"/>
      <c r="D34" s="353"/>
      <c r="E34" s="353"/>
      <c r="F34" s="353"/>
      <c r="G34" s="353"/>
      <c r="H34" s="353"/>
      <c r="I34" s="145">
        <v>136</v>
      </c>
      <c r="J34" s="146"/>
      <c r="K34" s="148"/>
      <c r="L34" s="148"/>
    </row>
    <row r="35" spans="1:12" s="72" customFormat="1" ht="13.5" customHeight="1">
      <c r="A35" s="353" t="s">
        <v>1752</v>
      </c>
      <c r="B35" s="353"/>
      <c r="C35" s="353"/>
      <c r="D35" s="353"/>
      <c r="E35" s="353"/>
      <c r="F35" s="353"/>
      <c r="G35" s="353"/>
      <c r="H35" s="353"/>
      <c r="I35" s="145">
        <v>137</v>
      </c>
      <c r="J35" s="146"/>
      <c r="K35" s="147">
        <f>SUM(K36:K39)</f>
        <v>73620</v>
      </c>
      <c r="L35" s="147">
        <f>SUM(L36:L39)</f>
        <v>60740</v>
      </c>
    </row>
    <row r="36" spans="1:12" s="72" customFormat="1" ht="13.5" customHeight="1">
      <c r="A36" s="353" t="s">
        <v>1753</v>
      </c>
      <c r="B36" s="353"/>
      <c r="C36" s="353"/>
      <c r="D36" s="353"/>
      <c r="E36" s="353"/>
      <c r="F36" s="353"/>
      <c r="G36" s="353"/>
      <c r="H36" s="353"/>
      <c r="I36" s="145">
        <v>138</v>
      </c>
      <c r="J36" s="146"/>
      <c r="K36" s="148">
        <v>73620</v>
      </c>
      <c r="L36" s="148">
        <v>60740</v>
      </c>
    </row>
    <row r="37" spans="1:12" s="72" customFormat="1" ht="27.75" customHeight="1">
      <c r="A37" s="353" t="s">
        <v>1754</v>
      </c>
      <c r="B37" s="353"/>
      <c r="C37" s="353"/>
      <c r="D37" s="353"/>
      <c r="E37" s="353"/>
      <c r="F37" s="353"/>
      <c r="G37" s="353"/>
      <c r="H37" s="353"/>
      <c r="I37" s="145">
        <v>139</v>
      </c>
      <c r="J37" s="146"/>
      <c r="K37" s="148"/>
      <c r="L37" s="148"/>
    </row>
    <row r="38" spans="1:12" s="72" customFormat="1" ht="13.5" customHeight="1">
      <c r="A38" s="353" t="s">
        <v>1755</v>
      </c>
      <c r="B38" s="353"/>
      <c r="C38" s="353"/>
      <c r="D38" s="353"/>
      <c r="E38" s="353"/>
      <c r="F38" s="353"/>
      <c r="G38" s="353"/>
      <c r="H38" s="353"/>
      <c r="I38" s="145">
        <v>140</v>
      </c>
      <c r="J38" s="146"/>
      <c r="K38" s="148"/>
      <c r="L38" s="148"/>
    </row>
    <row r="39" spans="1:12" s="72" customFormat="1" ht="13.5" customHeight="1">
      <c r="A39" s="353" t="s">
        <v>1756</v>
      </c>
      <c r="B39" s="353"/>
      <c r="C39" s="353"/>
      <c r="D39" s="353"/>
      <c r="E39" s="353"/>
      <c r="F39" s="353"/>
      <c r="G39" s="353"/>
      <c r="H39" s="353"/>
      <c r="I39" s="145">
        <v>141</v>
      </c>
      <c r="J39" s="146"/>
      <c r="K39" s="148"/>
      <c r="L39" s="148"/>
    </row>
    <row r="40" spans="1:12" s="72" customFormat="1" ht="13.5" customHeight="1">
      <c r="A40" s="353" t="s">
        <v>1757</v>
      </c>
      <c r="B40" s="353"/>
      <c r="C40" s="353"/>
      <c r="D40" s="353"/>
      <c r="E40" s="353"/>
      <c r="F40" s="353"/>
      <c r="G40" s="353"/>
      <c r="H40" s="353"/>
      <c r="I40" s="145">
        <v>142</v>
      </c>
      <c r="J40" s="146"/>
      <c r="K40" s="148"/>
      <c r="L40" s="148"/>
    </row>
    <row r="41" spans="1:12" s="72" customFormat="1" ht="13.5" customHeight="1">
      <c r="A41" s="353" t="s">
        <v>1758</v>
      </c>
      <c r="B41" s="353"/>
      <c r="C41" s="353"/>
      <c r="D41" s="353"/>
      <c r="E41" s="353"/>
      <c r="F41" s="353"/>
      <c r="G41" s="353"/>
      <c r="H41" s="353"/>
      <c r="I41" s="145">
        <v>143</v>
      </c>
      <c r="J41" s="146"/>
      <c r="K41" s="148"/>
      <c r="L41" s="148"/>
    </row>
    <row r="42" spans="1:12" s="72" customFormat="1" ht="13.5" customHeight="1">
      <c r="A42" s="353" t="s">
        <v>1759</v>
      </c>
      <c r="B42" s="353"/>
      <c r="C42" s="353"/>
      <c r="D42" s="353"/>
      <c r="E42" s="353"/>
      <c r="F42" s="353"/>
      <c r="G42" s="353"/>
      <c r="H42" s="353"/>
      <c r="I42" s="145">
        <v>144</v>
      </c>
      <c r="J42" s="146"/>
      <c r="K42" s="148">
        <v>8678</v>
      </c>
      <c r="L42" s="148">
        <v>27564</v>
      </c>
    </row>
    <row r="43" spans="1:12" s="72" customFormat="1" ht="13.5" customHeight="1">
      <c r="A43" s="353" t="s">
        <v>1760</v>
      </c>
      <c r="B43" s="353"/>
      <c r="C43" s="353"/>
      <c r="D43" s="353"/>
      <c r="E43" s="353"/>
      <c r="F43" s="353"/>
      <c r="G43" s="353"/>
      <c r="H43" s="353"/>
      <c r="I43" s="145">
        <v>145</v>
      </c>
      <c r="J43" s="146"/>
      <c r="K43" s="148">
        <v>67957</v>
      </c>
      <c r="L43" s="148">
        <v>105090</v>
      </c>
    </row>
    <row r="44" spans="1:12" s="72" customFormat="1" ht="13.5" customHeight="1">
      <c r="A44" s="353" t="s">
        <v>1761</v>
      </c>
      <c r="B44" s="353"/>
      <c r="C44" s="353"/>
      <c r="D44" s="353"/>
      <c r="E44" s="353"/>
      <c r="F44" s="353"/>
      <c r="G44" s="353"/>
      <c r="H44" s="353"/>
      <c r="I44" s="145">
        <v>146</v>
      </c>
      <c r="J44" s="146"/>
      <c r="K44" s="147">
        <f>K9+K29+K40+K42</f>
        <v>8326680</v>
      </c>
      <c r="L44" s="147">
        <f>L9+L29+L40+L42</f>
        <v>7859508</v>
      </c>
    </row>
    <row r="45" spans="1:12" s="72" customFormat="1" ht="13.5" customHeight="1">
      <c r="A45" s="353" t="s">
        <v>1762</v>
      </c>
      <c r="B45" s="353"/>
      <c r="C45" s="353"/>
      <c r="D45" s="353"/>
      <c r="E45" s="353"/>
      <c r="F45" s="353"/>
      <c r="G45" s="353"/>
      <c r="H45" s="353"/>
      <c r="I45" s="145">
        <v>147</v>
      </c>
      <c r="J45" s="146"/>
      <c r="K45" s="147">
        <f>K12+K35+K41+K43</f>
        <v>8245469</v>
      </c>
      <c r="L45" s="147">
        <f>L12+L35+L41+L43</f>
        <v>7758320</v>
      </c>
    </row>
    <row r="46" spans="1:12" s="72" customFormat="1" ht="13.5" customHeight="1">
      <c r="A46" s="353" t="s">
        <v>1763</v>
      </c>
      <c r="B46" s="353"/>
      <c r="C46" s="353"/>
      <c r="D46" s="353"/>
      <c r="E46" s="353"/>
      <c r="F46" s="353"/>
      <c r="G46" s="353"/>
      <c r="H46" s="353"/>
      <c r="I46" s="145">
        <v>148</v>
      </c>
      <c r="J46" s="146"/>
      <c r="K46" s="147">
        <f>K44-K45</f>
        <v>81211</v>
      </c>
      <c r="L46" s="147">
        <f>L44-L45</f>
        <v>101188</v>
      </c>
    </row>
    <row r="47" spans="1:12" s="72" customFormat="1" ht="13.5" customHeight="1">
      <c r="A47" s="358" t="s">
        <v>1764</v>
      </c>
      <c r="B47" s="358"/>
      <c r="C47" s="358"/>
      <c r="D47" s="358"/>
      <c r="E47" s="358"/>
      <c r="F47" s="358"/>
      <c r="G47" s="358"/>
      <c r="H47" s="358"/>
      <c r="I47" s="145">
        <v>149</v>
      </c>
      <c r="J47" s="146"/>
      <c r="K47" s="147">
        <f>IF(K44&gt;K45,K44-K45,0)</f>
        <v>81211</v>
      </c>
      <c r="L47" s="147">
        <f>IF(L44&gt;L45,L44-L45,0)</f>
        <v>101188</v>
      </c>
    </row>
    <row r="48" spans="1:12" s="72" customFormat="1" ht="13.5" customHeight="1">
      <c r="A48" s="358" t="s">
        <v>1765</v>
      </c>
      <c r="B48" s="358"/>
      <c r="C48" s="358"/>
      <c r="D48" s="358"/>
      <c r="E48" s="358"/>
      <c r="F48" s="358"/>
      <c r="G48" s="358"/>
      <c r="H48" s="358"/>
      <c r="I48" s="145">
        <v>150</v>
      </c>
      <c r="J48" s="146"/>
      <c r="K48" s="147">
        <f>IF(K45&gt;K44,K45-K44,0)</f>
        <v>0</v>
      </c>
      <c r="L48" s="147">
        <f>IF(L45&gt;L44,L45-L44,0)</f>
        <v>0</v>
      </c>
    </row>
    <row r="49" spans="1:12" s="72" customFormat="1" ht="13.5" customHeight="1">
      <c r="A49" s="353" t="s">
        <v>1766</v>
      </c>
      <c r="B49" s="353"/>
      <c r="C49" s="353"/>
      <c r="D49" s="353"/>
      <c r="E49" s="353"/>
      <c r="F49" s="353"/>
      <c r="G49" s="353"/>
      <c r="H49" s="353"/>
      <c r="I49" s="145">
        <v>151</v>
      </c>
      <c r="J49" s="146"/>
      <c r="K49" s="148">
        <v>29408</v>
      </c>
      <c r="L49" s="148">
        <v>39103</v>
      </c>
    </row>
    <row r="50" spans="1:12" s="72" customFormat="1" ht="13.5" customHeight="1">
      <c r="A50" s="353" t="s">
        <v>1767</v>
      </c>
      <c r="B50" s="353"/>
      <c r="C50" s="353"/>
      <c r="D50" s="353"/>
      <c r="E50" s="353"/>
      <c r="F50" s="353"/>
      <c r="G50" s="353"/>
      <c r="H50" s="353"/>
      <c r="I50" s="145">
        <v>152</v>
      </c>
      <c r="J50" s="146"/>
      <c r="K50" s="147">
        <f>K46-K49</f>
        <v>51803</v>
      </c>
      <c r="L50" s="147">
        <f>L46-L49</f>
        <v>62085</v>
      </c>
    </row>
    <row r="51" spans="1:12" s="72" customFormat="1" ht="13.5" customHeight="1">
      <c r="A51" s="358" t="s">
        <v>1768</v>
      </c>
      <c r="B51" s="358"/>
      <c r="C51" s="358"/>
      <c r="D51" s="358"/>
      <c r="E51" s="358"/>
      <c r="F51" s="358"/>
      <c r="G51" s="358"/>
      <c r="H51" s="358"/>
      <c r="I51" s="145">
        <v>153</v>
      </c>
      <c r="J51" s="146"/>
      <c r="K51" s="147">
        <f>IF(K50&gt;0,K50,0)</f>
        <v>51803</v>
      </c>
      <c r="L51" s="147">
        <f>IF(L50&gt;0,L50,0)</f>
        <v>62085</v>
      </c>
    </row>
    <row r="52" spans="1:12" s="72" customFormat="1" ht="13.5" customHeight="1">
      <c r="A52" s="365" t="s">
        <v>1769</v>
      </c>
      <c r="B52" s="365"/>
      <c r="C52" s="365"/>
      <c r="D52" s="365"/>
      <c r="E52" s="365"/>
      <c r="F52" s="365"/>
      <c r="G52" s="365"/>
      <c r="H52" s="365"/>
      <c r="I52" s="149">
        <v>154</v>
      </c>
      <c r="J52" s="150"/>
      <c r="K52" s="161">
        <f>IF(K50&lt;0,-K50,0)</f>
        <v>0</v>
      </c>
      <c r="L52" s="161">
        <f>IF(L50&lt;0,-L50,0)</f>
        <v>0</v>
      </c>
    </row>
    <row r="53" spans="1:12" s="72" customFormat="1" ht="15" customHeight="1">
      <c r="A53" s="357" t="s">
        <v>1770</v>
      </c>
      <c r="B53" s="357"/>
      <c r="C53" s="357"/>
      <c r="D53" s="357"/>
      <c r="E53" s="357"/>
      <c r="F53" s="357"/>
      <c r="G53" s="357"/>
      <c r="H53" s="357"/>
      <c r="I53" s="357"/>
      <c r="J53" s="357"/>
      <c r="K53" s="357"/>
      <c r="L53" s="357"/>
    </row>
    <row r="54" spans="1:12" s="72" customFormat="1" ht="13.5" customHeight="1">
      <c r="A54" s="362" t="s">
        <v>1771</v>
      </c>
      <c r="B54" s="362"/>
      <c r="C54" s="362"/>
      <c r="D54" s="362"/>
      <c r="E54" s="362"/>
      <c r="F54" s="362"/>
      <c r="G54" s="362"/>
      <c r="H54" s="362"/>
      <c r="I54" s="362"/>
      <c r="J54" s="362"/>
      <c r="K54" s="362"/>
      <c r="L54" s="362"/>
    </row>
    <row r="55" spans="1:12" s="72" customFormat="1" ht="13.5" customHeight="1">
      <c r="A55" s="366" t="s">
        <v>1772</v>
      </c>
      <c r="B55" s="366"/>
      <c r="C55" s="366"/>
      <c r="D55" s="366"/>
      <c r="E55" s="366"/>
      <c r="F55" s="366"/>
      <c r="G55" s="366"/>
      <c r="H55" s="366"/>
      <c r="I55" s="153">
        <v>155</v>
      </c>
      <c r="J55" s="146"/>
      <c r="K55" s="148"/>
      <c r="L55" s="148"/>
    </row>
    <row r="56" spans="1:12" s="72" customFormat="1" ht="13.5" customHeight="1">
      <c r="A56" s="366" t="s">
        <v>1773</v>
      </c>
      <c r="B56" s="366"/>
      <c r="C56" s="366"/>
      <c r="D56" s="366"/>
      <c r="E56" s="366"/>
      <c r="F56" s="366"/>
      <c r="G56" s="366"/>
      <c r="H56" s="366"/>
      <c r="I56" s="153">
        <v>156</v>
      </c>
      <c r="J56" s="146"/>
      <c r="K56" s="151"/>
      <c r="L56" s="151"/>
    </row>
    <row r="57" spans="1:12" s="72" customFormat="1" ht="15" customHeight="1">
      <c r="A57" s="367" t="s">
        <v>1774</v>
      </c>
      <c r="B57" s="367"/>
      <c r="C57" s="367"/>
      <c r="D57" s="367"/>
      <c r="E57" s="367"/>
      <c r="F57" s="367"/>
      <c r="G57" s="367"/>
      <c r="H57" s="367"/>
      <c r="I57" s="367"/>
      <c r="J57" s="367"/>
      <c r="K57" s="367"/>
      <c r="L57" s="367"/>
    </row>
    <row r="58" spans="1:12" s="72" customFormat="1" ht="13.5" customHeight="1">
      <c r="A58" s="352" t="s">
        <v>1775</v>
      </c>
      <c r="B58" s="352"/>
      <c r="C58" s="352"/>
      <c r="D58" s="352"/>
      <c r="E58" s="352"/>
      <c r="F58" s="352"/>
      <c r="G58" s="352"/>
      <c r="H58" s="352"/>
      <c r="I58" s="162">
        <v>157</v>
      </c>
      <c r="J58" s="163"/>
      <c r="K58" s="144"/>
      <c r="L58" s="144"/>
    </row>
    <row r="59" spans="1:12" s="72" customFormat="1" ht="13.5" customHeight="1">
      <c r="A59" s="353" t="s">
        <v>1776</v>
      </c>
      <c r="B59" s="353"/>
      <c r="C59" s="353"/>
      <c r="D59" s="353"/>
      <c r="E59" s="353"/>
      <c r="F59" s="353"/>
      <c r="G59" s="353"/>
      <c r="H59" s="353"/>
      <c r="I59" s="145">
        <v>158</v>
      </c>
      <c r="J59" s="146"/>
      <c r="K59" s="147">
        <f>SUM(K60:K66)</f>
        <v>0</v>
      </c>
      <c r="L59" s="147">
        <f>SUM(L60:L66)</f>
        <v>0</v>
      </c>
    </row>
    <row r="60" spans="1:12" s="72" customFormat="1" ht="13.5" customHeight="1">
      <c r="A60" s="353" t="s">
        <v>1777</v>
      </c>
      <c r="B60" s="353"/>
      <c r="C60" s="353"/>
      <c r="D60" s="353"/>
      <c r="E60" s="353"/>
      <c r="F60" s="353"/>
      <c r="G60" s="353"/>
      <c r="H60" s="353"/>
      <c r="I60" s="145">
        <v>159</v>
      </c>
      <c r="J60" s="146"/>
      <c r="K60" s="148"/>
      <c r="L60" s="148"/>
    </row>
    <row r="61" spans="1:12" s="72" customFormat="1" ht="25.5" customHeight="1">
      <c r="A61" s="353" t="s">
        <v>1778</v>
      </c>
      <c r="B61" s="353"/>
      <c r="C61" s="353"/>
      <c r="D61" s="353"/>
      <c r="E61" s="353"/>
      <c r="F61" s="353"/>
      <c r="G61" s="353"/>
      <c r="H61" s="353"/>
      <c r="I61" s="145">
        <v>160</v>
      </c>
      <c r="J61" s="146"/>
      <c r="K61" s="148"/>
      <c r="L61" s="148"/>
    </row>
    <row r="62" spans="1:12" s="72" customFormat="1" ht="26.25" customHeight="1">
      <c r="A62" s="353" t="s">
        <v>1779</v>
      </c>
      <c r="B62" s="353"/>
      <c r="C62" s="353"/>
      <c r="D62" s="353"/>
      <c r="E62" s="353"/>
      <c r="F62" s="353"/>
      <c r="G62" s="353"/>
      <c r="H62" s="353"/>
      <c r="I62" s="145">
        <v>161</v>
      </c>
      <c r="J62" s="146"/>
      <c r="K62" s="148"/>
      <c r="L62" s="148"/>
    </row>
    <row r="63" spans="1:12" s="72" customFormat="1" ht="13.5" customHeight="1">
      <c r="A63" s="353" t="s">
        <v>1780</v>
      </c>
      <c r="B63" s="353"/>
      <c r="C63" s="353"/>
      <c r="D63" s="353"/>
      <c r="E63" s="353"/>
      <c r="F63" s="353"/>
      <c r="G63" s="353"/>
      <c r="H63" s="353"/>
      <c r="I63" s="145">
        <v>162</v>
      </c>
      <c r="J63" s="146"/>
      <c r="K63" s="148"/>
      <c r="L63" s="148"/>
    </row>
    <row r="64" spans="1:12" s="72" customFormat="1" ht="13.5" customHeight="1">
      <c r="A64" s="353" t="s">
        <v>1781</v>
      </c>
      <c r="B64" s="353"/>
      <c r="C64" s="353"/>
      <c r="D64" s="353"/>
      <c r="E64" s="353"/>
      <c r="F64" s="353"/>
      <c r="G64" s="353"/>
      <c r="H64" s="353"/>
      <c r="I64" s="145">
        <v>163</v>
      </c>
      <c r="J64" s="146"/>
      <c r="K64" s="148"/>
      <c r="L64" s="148"/>
    </row>
    <row r="65" spans="1:12" s="72" customFormat="1" ht="13.5" customHeight="1">
      <c r="A65" s="353" t="s">
        <v>1782</v>
      </c>
      <c r="B65" s="353"/>
      <c r="C65" s="353"/>
      <c r="D65" s="353"/>
      <c r="E65" s="353"/>
      <c r="F65" s="353"/>
      <c r="G65" s="353"/>
      <c r="H65" s="353"/>
      <c r="I65" s="145">
        <v>164</v>
      </c>
      <c r="J65" s="146"/>
      <c r="K65" s="148"/>
      <c r="L65" s="148"/>
    </row>
    <row r="66" spans="1:12" s="72" customFormat="1" ht="13.5" customHeight="1">
      <c r="A66" s="353" t="s">
        <v>1783</v>
      </c>
      <c r="B66" s="353"/>
      <c r="C66" s="353"/>
      <c r="D66" s="353"/>
      <c r="E66" s="353"/>
      <c r="F66" s="353"/>
      <c r="G66" s="353"/>
      <c r="H66" s="353"/>
      <c r="I66" s="145">
        <v>165</v>
      </c>
      <c r="J66" s="146"/>
      <c r="K66" s="148"/>
      <c r="L66" s="148"/>
    </row>
    <row r="67" spans="1:12" s="72" customFormat="1" ht="13.5" customHeight="1">
      <c r="A67" s="353" t="s">
        <v>1784</v>
      </c>
      <c r="B67" s="353"/>
      <c r="C67" s="353"/>
      <c r="D67" s="353"/>
      <c r="E67" s="353"/>
      <c r="F67" s="353"/>
      <c r="G67" s="353"/>
      <c r="H67" s="353"/>
      <c r="I67" s="145">
        <v>166</v>
      </c>
      <c r="J67" s="146"/>
      <c r="K67" s="148"/>
      <c r="L67" s="148"/>
    </row>
    <row r="68" spans="1:12" s="72" customFormat="1" ht="27" customHeight="1">
      <c r="A68" s="353" t="s">
        <v>1785</v>
      </c>
      <c r="B68" s="353"/>
      <c r="C68" s="353"/>
      <c r="D68" s="353"/>
      <c r="E68" s="353"/>
      <c r="F68" s="353"/>
      <c r="G68" s="353"/>
      <c r="H68" s="353"/>
      <c r="I68" s="145">
        <v>167</v>
      </c>
      <c r="J68" s="146"/>
      <c r="K68" s="147">
        <f>K59-K67</f>
        <v>0</v>
      </c>
      <c r="L68" s="147">
        <f>L59-L67</f>
        <v>0</v>
      </c>
    </row>
    <row r="69" spans="1:12" s="72" customFormat="1" ht="13.5" customHeight="1">
      <c r="A69" s="353" t="s">
        <v>1786</v>
      </c>
      <c r="B69" s="353"/>
      <c r="C69" s="353"/>
      <c r="D69" s="353"/>
      <c r="E69" s="353"/>
      <c r="F69" s="353"/>
      <c r="G69" s="353"/>
      <c r="H69" s="353"/>
      <c r="I69" s="145">
        <v>168</v>
      </c>
      <c r="J69" s="146"/>
      <c r="K69" s="161">
        <f>K58+K68</f>
        <v>0</v>
      </c>
      <c r="L69" s="161">
        <f>L58+L68</f>
        <v>0</v>
      </c>
    </row>
    <row r="70" spans="1:12" s="72" customFormat="1" ht="15" customHeight="1">
      <c r="A70" s="357" t="s">
        <v>1787</v>
      </c>
      <c r="B70" s="357"/>
      <c r="C70" s="357"/>
      <c r="D70" s="357"/>
      <c r="E70" s="357"/>
      <c r="F70" s="357"/>
      <c r="G70" s="357"/>
      <c r="H70" s="357"/>
      <c r="I70" s="357"/>
      <c r="J70" s="357"/>
      <c r="K70" s="357"/>
      <c r="L70" s="357"/>
    </row>
    <row r="71" spans="1:12" s="72" customFormat="1" ht="13.5" customHeight="1">
      <c r="A71" s="362" t="s">
        <v>1788</v>
      </c>
      <c r="B71" s="362"/>
      <c r="C71" s="362"/>
      <c r="D71" s="362"/>
      <c r="E71" s="362"/>
      <c r="F71" s="362"/>
      <c r="G71" s="362"/>
      <c r="H71" s="362"/>
      <c r="I71" s="362"/>
      <c r="J71" s="362"/>
      <c r="K71" s="362"/>
      <c r="L71" s="362"/>
    </row>
    <row r="72" spans="1:12" s="72" customFormat="1" ht="13.5" customHeight="1">
      <c r="A72" s="366" t="s">
        <v>1772</v>
      </c>
      <c r="B72" s="366"/>
      <c r="C72" s="366"/>
      <c r="D72" s="366"/>
      <c r="E72" s="366"/>
      <c r="F72" s="366"/>
      <c r="G72" s="366"/>
      <c r="H72" s="366"/>
      <c r="I72" s="153">
        <v>169</v>
      </c>
      <c r="J72" s="146"/>
      <c r="K72" s="148"/>
      <c r="L72" s="148"/>
    </row>
    <row r="73" spans="1:12" s="72" customFormat="1" ht="13.5" customHeight="1">
      <c r="A73" s="368" t="s">
        <v>1773</v>
      </c>
      <c r="B73" s="368"/>
      <c r="C73" s="368"/>
      <c r="D73" s="368"/>
      <c r="E73" s="368"/>
      <c r="F73" s="368"/>
      <c r="G73" s="368"/>
      <c r="H73" s="368"/>
      <c r="I73" s="155">
        <v>170</v>
      </c>
      <c r="J73" s="164"/>
      <c r="K73" s="151"/>
      <c r="L73" s="151"/>
    </row>
    <row r="74" ht="4.5" customHeight="1"/>
  </sheetData>
  <sheetProtection sheet="1" objects="1" scenarios="1"/>
  <mergeCells count="72">
    <mergeCell ref="A68:H68"/>
    <mergeCell ref="A69:H69"/>
    <mergeCell ref="A70:L70"/>
    <mergeCell ref="A71:L71"/>
    <mergeCell ref="A72:H72"/>
    <mergeCell ref="A73:H73"/>
    <mergeCell ref="A62:H62"/>
    <mergeCell ref="A63:H63"/>
    <mergeCell ref="A64:H64"/>
    <mergeCell ref="A65:H65"/>
    <mergeCell ref="A66:H66"/>
    <mergeCell ref="A67:H67"/>
    <mergeCell ref="A56:H56"/>
    <mergeCell ref="A57:L57"/>
    <mergeCell ref="A58:H58"/>
    <mergeCell ref="A59:H59"/>
    <mergeCell ref="A60:H60"/>
    <mergeCell ref="A61:H61"/>
    <mergeCell ref="A50:H50"/>
    <mergeCell ref="A51:H51"/>
    <mergeCell ref="A52:H52"/>
    <mergeCell ref="A53:L53"/>
    <mergeCell ref="A54:L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B2"/>
    <mergeCell ref="A3:K3"/>
    <mergeCell ref="L3:L4"/>
    <mergeCell ref="A4:K4"/>
    <mergeCell ref="A6:L6"/>
    <mergeCell ref="A7:H7"/>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93" activePane="bottomLeft" state="frozen"/>
      <selection pane="topLeft" activeCell="A1" sqref="A1"/>
      <selection pane="bottomLeft" activeCell="IV131" sqref="IV131"/>
    </sheetView>
  </sheetViews>
  <sheetFormatPr defaultColWidth="0"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IF(OR(MIN(K9:L144)&lt;0,MAX(K9:L144)&gt;0),1,0)</f>
        <v>0</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IF(OR(MIN(K9:K144)&lt;0,MAX(K9:K144)&gt;0),1,0)</f>
        <v>0</v>
      </c>
      <c r="R2" s="72" t="s">
        <v>1605</v>
      </c>
    </row>
    <row r="3" spans="1:18" s="72" customFormat="1" ht="19.5" customHeight="1">
      <c r="A3" s="369" t="s">
        <v>1789</v>
      </c>
      <c r="B3" s="369"/>
      <c r="C3" s="369"/>
      <c r="D3" s="369"/>
      <c r="E3" s="369"/>
      <c r="F3" s="369"/>
      <c r="G3" s="369"/>
      <c r="H3" s="369"/>
      <c r="I3" s="369"/>
      <c r="J3" s="369"/>
      <c r="K3" s="369"/>
      <c r="L3" s="346" t="s">
        <v>1790</v>
      </c>
      <c r="Q3" s="134">
        <f>IF(OR(MIN(L9:L144)&lt;0,MAX(L9:L144)&gt;0),1,0)</f>
        <v>0</v>
      </c>
      <c r="R3" s="72" t="s">
        <v>1608</v>
      </c>
    </row>
    <row r="4" spans="1:12" s="72" customFormat="1" ht="19.5" customHeight="1">
      <c r="A4" s="370" t="str">
        <f>"za razdoblje "&amp;IF(Opci!E5&lt;&gt;"",TEXT(Opci!E5,"DD.MM.YYYY."),"__.__.____.")&amp;" do "&amp;IF(Opci!H5&lt;&gt;"",TEXT(Opci!H5,"DD.MM.YYYY."),"__.__.____.")</f>
        <v>za razdoblje 01.01.2014. do 31.12.2014.</v>
      </c>
      <c r="B4" s="370"/>
      <c r="C4" s="370"/>
      <c r="D4" s="370"/>
      <c r="E4" s="370"/>
      <c r="F4" s="370"/>
      <c r="G4" s="370"/>
      <c r="H4" s="370"/>
      <c r="I4" s="370"/>
      <c r="J4" s="370"/>
      <c r="K4" s="370"/>
      <c r="L4" s="346"/>
    </row>
    <row r="5" spans="1:12" s="72" customFormat="1" ht="4.5" customHeight="1">
      <c r="A5" s="165"/>
      <c r="B5" s="166"/>
      <c r="C5" s="166"/>
      <c r="D5" s="166"/>
      <c r="E5" s="166"/>
      <c r="F5" s="166"/>
      <c r="G5" s="166"/>
      <c r="H5" s="166"/>
      <c r="I5" s="166"/>
      <c r="J5" s="166"/>
      <c r="K5" s="167"/>
      <c r="L5" s="168"/>
    </row>
    <row r="6" spans="1:12" s="72" customFormat="1" ht="19.5" customHeight="1">
      <c r="A6" s="348" t="str">
        <f>"Obveznik: "&amp;IF(Opci!C23&lt;&gt;"",Opci!C23,"________")&amp;"; "&amp;IF(Opci!C25&lt;&gt;"",Opci!C25,"_____________________________________________________________"&amp;"; "&amp;IF(Opci!F27&lt;&gt;"",Opci!F27,"_______________"))</f>
        <v>Obveznik: 26211106548; STAMBENO KOMUNALNO GOSPODARSTVO D.O.O.</v>
      </c>
      <c r="B6" s="348"/>
      <c r="C6" s="348"/>
      <c r="D6" s="348"/>
      <c r="E6" s="348"/>
      <c r="F6" s="348"/>
      <c r="G6" s="348"/>
      <c r="H6" s="348"/>
      <c r="I6" s="348"/>
      <c r="J6" s="348"/>
      <c r="K6" s="348"/>
      <c r="L6" s="348"/>
    </row>
    <row r="7" spans="1:12" s="72" customFormat="1" ht="24.75" customHeight="1">
      <c r="A7" s="371" t="s">
        <v>1610</v>
      </c>
      <c r="B7" s="371"/>
      <c r="C7" s="371"/>
      <c r="D7" s="371"/>
      <c r="E7" s="371"/>
      <c r="F7" s="371"/>
      <c r="G7" s="371"/>
      <c r="H7" s="371"/>
      <c r="I7" s="371"/>
      <c r="J7" s="169" t="s">
        <v>1722</v>
      </c>
      <c r="K7" s="170" t="s">
        <v>1723</v>
      </c>
      <c r="L7" s="170" t="s">
        <v>1724</v>
      </c>
    </row>
    <row r="8" spans="1:12" s="72" customFormat="1" ht="13.5" customHeight="1">
      <c r="A8" s="372">
        <v>1</v>
      </c>
      <c r="B8" s="372"/>
      <c r="C8" s="372"/>
      <c r="D8" s="372"/>
      <c r="E8" s="372"/>
      <c r="F8" s="372"/>
      <c r="G8" s="372"/>
      <c r="H8" s="372"/>
      <c r="I8" s="372"/>
      <c r="J8" s="172">
        <v>2</v>
      </c>
      <c r="K8" s="171">
        <v>3</v>
      </c>
      <c r="L8" s="171">
        <v>4</v>
      </c>
    </row>
    <row r="9" spans="1:12" s="72" customFormat="1" ht="15" customHeight="1">
      <c r="A9" s="357" t="s">
        <v>1791</v>
      </c>
      <c r="B9" s="357"/>
      <c r="C9" s="357"/>
      <c r="D9" s="357"/>
      <c r="E9" s="357"/>
      <c r="F9" s="357"/>
      <c r="G9" s="357"/>
      <c r="H9" s="357"/>
      <c r="I9" s="357"/>
      <c r="J9" s="357"/>
      <c r="K9" s="357"/>
      <c r="L9" s="357"/>
    </row>
    <row r="10" spans="1:12" s="72" customFormat="1" ht="13.5" customHeight="1">
      <c r="A10" s="373" t="s">
        <v>1792</v>
      </c>
      <c r="B10" s="373"/>
      <c r="C10" s="373"/>
      <c r="D10" s="373"/>
      <c r="E10" s="373"/>
      <c r="F10" s="373"/>
      <c r="G10" s="373"/>
      <c r="H10" s="373"/>
      <c r="I10" s="373"/>
      <c r="J10" s="162">
        <v>171</v>
      </c>
      <c r="K10" s="144"/>
      <c r="L10" s="144"/>
    </row>
    <row r="11" spans="1:12" s="72" customFormat="1" ht="13.5" customHeight="1">
      <c r="A11" s="355" t="s">
        <v>1793</v>
      </c>
      <c r="B11" s="355"/>
      <c r="C11" s="355"/>
      <c r="D11" s="355"/>
      <c r="E11" s="355"/>
      <c r="F11" s="355"/>
      <c r="G11" s="355"/>
      <c r="H11" s="355"/>
      <c r="I11" s="355"/>
      <c r="J11" s="145">
        <v>172</v>
      </c>
      <c r="K11" s="148"/>
      <c r="L11" s="148"/>
    </row>
    <row r="12" spans="1:12" s="72" customFormat="1" ht="13.5" customHeight="1">
      <c r="A12" s="355" t="s">
        <v>1794</v>
      </c>
      <c r="B12" s="355"/>
      <c r="C12" s="355"/>
      <c r="D12" s="355"/>
      <c r="E12" s="355"/>
      <c r="F12" s="355"/>
      <c r="G12" s="355"/>
      <c r="H12" s="355"/>
      <c r="I12" s="355"/>
      <c r="J12" s="145">
        <v>173</v>
      </c>
      <c r="K12" s="148"/>
      <c r="L12" s="148"/>
    </row>
    <row r="13" spans="1:12" s="72" customFormat="1" ht="13.5" customHeight="1">
      <c r="A13" s="355" t="s">
        <v>1795</v>
      </c>
      <c r="B13" s="355"/>
      <c r="C13" s="355"/>
      <c r="D13" s="355"/>
      <c r="E13" s="355"/>
      <c r="F13" s="355"/>
      <c r="G13" s="355"/>
      <c r="H13" s="355"/>
      <c r="I13" s="355"/>
      <c r="J13" s="145">
        <v>174</v>
      </c>
      <c r="K13" s="148"/>
      <c r="L13" s="148"/>
    </row>
    <row r="14" spans="1:12" s="72" customFormat="1" ht="13.5" customHeight="1">
      <c r="A14" s="355" t="s">
        <v>1796</v>
      </c>
      <c r="B14" s="355"/>
      <c r="C14" s="355"/>
      <c r="D14" s="355"/>
      <c r="E14" s="355"/>
      <c r="F14" s="355"/>
      <c r="G14" s="355"/>
      <c r="H14" s="355"/>
      <c r="I14" s="355"/>
      <c r="J14" s="145">
        <v>175</v>
      </c>
      <c r="K14" s="148"/>
      <c r="L14" s="148"/>
    </row>
    <row r="15" spans="1:12" s="72" customFormat="1" ht="13.5" customHeight="1">
      <c r="A15" s="355" t="s">
        <v>1797</v>
      </c>
      <c r="B15" s="355"/>
      <c r="C15" s="355"/>
      <c r="D15" s="355"/>
      <c r="E15" s="355"/>
      <c r="F15" s="355"/>
      <c r="G15" s="355"/>
      <c r="H15" s="355"/>
      <c r="I15" s="355"/>
      <c r="J15" s="145">
        <v>176</v>
      </c>
      <c r="K15" s="148"/>
      <c r="L15" s="148"/>
    </row>
    <row r="16" spans="1:12" s="72" customFormat="1" ht="13.5" customHeight="1">
      <c r="A16" s="355" t="s">
        <v>1798</v>
      </c>
      <c r="B16" s="355"/>
      <c r="C16" s="355"/>
      <c r="D16" s="355"/>
      <c r="E16" s="355"/>
      <c r="F16" s="355"/>
      <c r="G16" s="355"/>
      <c r="H16" s="355"/>
      <c r="I16" s="355"/>
      <c r="J16" s="145">
        <v>177</v>
      </c>
      <c r="K16" s="148"/>
      <c r="L16" s="148"/>
    </row>
    <row r="17" spans="1:12" s="72" customFormat="1" ht="13.5" customHeight="1">
      <c r="A17" s="355" t="s">
        <v>1799</v>
      </c>
      <c r="B17" s="355"/>
      <c r="C17" s="355"/>
      <c r="D17" s="355"/>
      <c r="E17" s="355"/>
      <c r="F17" s="355"/>
      <c r="G17" s="355"/>
      <c r="H17" s="355"/>
      <c r="I17" s="355"/>
      <c r="J17" s="145">
        <v>178</v>
      </c>
      <c r="K17" s="148"/>
      <c r="L17" s="148"/>
    </row>
    <row r="18" spans="1:12" s="72" customFormat="1" ht="13.5" customHeight="1">
      <c r="A18" s="355" t="s">
        <v>1800</v>
      </c>
      <c r="B18" s="355"/>
      <c r="C18" s="355"/>
      <c r="D18" s="355"/>
      <c r="E18" s="355"/>
      <c r="F18" s="355"/>
      <c r="G18" s="355"/>
      <c r="H18" s="355"/>
      <c r="I18" s="355"/>
      <c r="J18" s="145">
        <v>179</v>
      </c>
      <c r="K18" s="148"/>
      <c r="L18" s="148"/>
    </row>
    <row r="19" spans="1:12" s="72" customFormat="1" ht="13.5" customHeight="1">
      <c r="A19" s="355" t="s">
        <v>1801</v>
      </c>
      <c r="B19" s="355"/>
      <c r="C19" s="355"/>
      <c r="D19" s="355"/>
      <c r="E19" s="355"/>
      <c r="F19" s="355"/>
      <c r="G19" s="355"/>
      <c r="H19" s="355"/>
      <c r="I19" s="355"/>
      <c r="J19" s="145">
        <v>180</v>
      </c>
      <c r="K19" s="148"/>
      <c r="L19" s="148"/>
    </row>
    <row r="20" spans="1:12" s="72" customFormat="1" ht="13.5" customHeight="1">
      <c r="A20" s="355" t="s">
        <v>1802</v>
      </c>
      <c r="B20" s="355"/>
      <c r="C20" s="355"/>
      <c r="D20" s="355"/>
      <c r="E20" s="355"/>
      <c r="F20" s="355"/>
      <c r="G20" s="355"/>
      <c r="H20" s="355"/>
      <c r="I20" s="355"/>
      <c r="J20" s="145">
        <v>181</v>
      </c>
      <c r="K20" s="148"/>
      <c r="L20" s="148"/>
    </row>
    <row r="21" spans="1:12" s="72" customFormat="1" ht="13.5" customHeight="1">
      <c r="A21" s="355" t="s">
        <v>1803</v>
      </c>
      <c r="B21" s="355"/>
      <c r="C21" s="355"/>
      <c r="D21" s="355"/>
      <c r="E21" s="355"/>
      <c r="F21" s="355"/>
      <c r="G21" s="355"/>
      <c r="H21" s="355"/>
      <c r="I21" s="355"/>
      <c r="J21" s="145">
        <v>182</v>
      </c>
      <c r="K21" s="148"/>
      <c r="L21" s="148"/>
    </row>
    <row r="22" spans="1:12" s="72" customFormat="1" ht="13.5" customHeight="1">
      <c r="A22" s="355" t="s">
        <v>1804</v>
      </c>
      <c r="B22" s="355"/>
      <c r="C22" s="355"/>
      <c r="D22" s="355"/>
      <c r="E22" s="355"/>
      <c r="F22" s="355"/>
      <c r="G22" s="355"/>
      <c r="H22" s="355"/>
      <c r="I22" s="355"/>
      <c r="J22" s="145">
        <v>183</v>
      </c>
      <c r="K22" s="148"/>
      <c r="L22" s="148"/>
    </row>
    <row r="23" spans="1:12" s="72" customFormat="1" ht="13.5" customHeight="1">
      <c r="A23" s="355" t="s">
        <v>1805</v>
      </c>
      <c r="B23" s="355"/>
      <c r="C23" s="355"/>
      <c r="D23" s="355"/>
      <c r="E23" s="355"/>
      <c r="F23" s="355"/>
      <c r="G23" s="355"/>
      <c r="H23" s="355"/>
      <c r="I23" s="355"/>
      <c r="J23" s="145">
        <v>184</v>
      </c>
      <c r="K23" s="148"/>
      <c r="L23" s="148"/>
    </row>
    <row r="24" spans="1:12" s="72" customFormat="1" ht="13.5" customHeight="1">
      <c r="A24" s="355" t="s">
        <v>1806</v>
      </c>
      <c r="B24" s="355"/>
      <c r="C24" s="355"/>
      <c r="D24" s="355"/>
      <c r="E24" s="355"/>
      <c r="F24" s="355"/>
      <c r="G24" s="355"/>
      <c r="H24" s="355"/>
      <c r="I24" s="355"/>
      <c r="J24" s="145">
        <v>185</v>
      </c>
      <c r="K24" s="148"/>
      <c r="L24" s="148"/>
    </row>
    <row r="25" spans="1:12" s="72" customFormat="1" ht="13.5" customHeight="1">
      <c r="A25" s="355" t="s">
        <v>1807</v>
      </c>
      <c r="B25" s="355"/>
      <c r="C25" s="355"/>
      <c r="D25" s="355"/>
      <c r="E25" s="355"/>
      <c r="F25" s="355"/>
      <c r="G25" s="355"/>
      <c r="H25" s="355"/>
      <c r="I25" s="355"/>
      <c r="J25" s="145">
        <v>186</v>
      </c>
      <c r="K25" s="148"/>
      <c r="L25" s="148"/>
    </row>
    <row r="26" spans="1:12" s="72" customFormat="1" ht="13.5" customHeight="1">
      <c r="A26" s="353" t="s">
        <v>1808</v>
      </c>
      <c r="B26" s="353"/>
      <c r="C26" s="353"/>
      <c r="D26" s="353"/>
      <c r="E26" s="353"/>
      <c r="F26" s="353"/>
      <c r="G26" s="353"/>
      <c r="H26" s="353"/>
      <c r="I26" s="353"/>
      <c r="J26" s="145">
        <v>187</v>
      </c>
      <c r="K26" s="147">
        <f>SUM(K10:K25)</f>
        <v>0</v>
      </c>
      <c r="L26" s="147">
        <f>SUM(L10:L25)</f>
        <v>0</v>
      </c>
    </row>
    <row r="27" spans="1:12" s="72" customFormat="1" ht="13.5" customHeight="1">
      <c r="A27" s="355" t="s">
        <v>1809</v>
      </c>
      <c r="B27" s="355"/>
      <c r="C27" s="355"/>
      <c r="D27" s="355"/>
      <c r="E27" s="355"/>
      <c r="F27" s="355"/>
      <c r="G27" s="355"/>
      <c r="H27" s="355"/>
      <c r="I27" s="355"/>
      <c r="J27" s="145">
        <v>188</v>
      </c>
      <c r="K27" s="148"/>
      <c r="L27" s="148"/>
    </row>
    <row r="28" spans="1:12" s="72" customFormat="1" ht="13.5" customHeight="1">
      <c r="A28" s="355" t="s">
        <v>1810</v>
      </c>
      <c r="B28" s="355"/>
      <c r="C28" s="355"/>
      <c r="D28" s="355"/>
      <c r="E28" s="355"/>
      <c r="F28" s="355"/>
      <c r="G28" s="355"/>
      <c r="H28" s="355"/>
      <c r="I28" s="355"/>
      <c r="J28" s="145">
        <v>189</v>
      </c>
      <c r="K28" s="148"/>
      <c r="L28" s="148"/>
    </row>
    <row r="29" spans="1:12" s="72" customFormat="1" ht="13.5" customHeight="1">
      <c r="A29" s="355" t="s">
        <v>1811</v>
      </c>
      <c r="B29" s="355"/>
      <c r="C29" s="355"/>
      <c r="D29" s="355"/>
      <c r="E29" s="355"/>
      <c r="F29" s="355"/>
      <c r="G29" s="355"/>
      <c r="H29" s="355"/>
      <c r="I29" s="355"/>
      <c r="J29" s="145">
        <v>190</v>
      </c>
      <c r="K29" s="148"/>
      <c r="L29" s="148"/>
    </row>
    <row r="30" spans="1:12" s="72" customFormat="1" ht="13.5" customHeight="1">
      <c r="A30" s="355" t="s">
        <v>1812</v>
      </c>
      <c r="B30" s="355"/>
      <c r="C30" s="355"/>
      <c r="D30" s="355"/>
      <c r="E30" s="355"/>
      <c r="F30" s="355"/>
      <c r="G30" s="355"/>
      <c r="H30" s="355"/>
      <c r="I30" s="355"/>
      <c r="J30" s="145">
        <v>191</v>
      </c>
      <c r="K30" s="148"/>
      <c r="L30" s="148"/>
    </row>
    <row r="31" spans="1:12" s="72" customFormat="1" ht="13.5" customHeight="1">
      <c r="A31" s="355" t="s">
        <v>1813</v>
      </c>
      <c r="B31" s="355"/>
      <c r="C31" s="355"/>
      <c r="D31" s="355"/>
      <c r="E31" s="355"/>
      <c r="F31" s="355"/>
      <c r="G31" s="355"/>
      <c r="H31" s="355"/>
      <c r="I31" s="355"/>
      <c r="J31" s="145">
        <v>192</v>
      </c>
      <c r="K31" s="148"/>
      <c r="L31" s="148"/>
    </row>
    <row r="32" spans="1:12" s="72" customFormat="1" ht="13.5" customHeight="1">
      <c r="A32" s="355" t="s">
        <v>1814</v>
      </c>
      <c r="B32" s="355"/>
      <c r="C32" s="355"/>
      <c r="D32" s="355"/>
      <c r="E32" s="355"/>
      <c r="F32" s="355"/>
      <c r="G32" s="355"/>
      <c r="H32" s="355"/>
      <c r="I32" s="355"/>
      <c r="J32" s="145">
        <v>193</v>
      </c>
      <c r="K32" s="148"/>
      <c r="L32" s="148"/>
    </row>
    <row r="33" spans="1:12" s="72" customFormat="1" ht="13.5" customHeight="1">
      <c r="A33" s="355" t="s">
        <v>1815</v>
      </c>
      <c r="B33" s="355"/>
      <c r="C33" s="355"/>
      <c r="D33" s="355"/>
      <c r="E33" s="355"/>
      <c r="F33" s="355"/>
      <c r="G33" s="355"/>
      <c r="H33" s="355"/>
      <c r="I33" s="355"/>
      <c r="J33" s="145">
        <v>194</v>
      </c>
      <c r="K33" s="148"/>
      <c r="L33" s="148"/>
    </row>
    <row r="34" spans="1:12" s="72" customFormat="1" ht="13.5" customHeight="1">
      <c r="A34" s="355" t="s">
        <v>1816</v>
      </c>
      <c r="B34" s="355"/>
      <c r="C34" s="355"/>
      <c r="D34" s="355"/>
      <c r="E34" s="355"/>
      <c r="F34" s="355"/>
      <c r="G34" s="355"/>
      <c r="H34" s="355"/>
      <c r="I34" s="355"/>
      <c r="J34" s="145">
        <v>195</v>
      </c>
      <c r="K34" s="148"/>
      <c r="L34" s="148"/>
    </row>
    <row r="35" spans="1:12" s="72" customFormat="1" ht="13.5" customHeight="1">
      <c r="A35" s="355" t="s">
        <v>1817</v>
      </c>
      <c r="B35" s="355"/>
      <c r="C35" s="355"/>
      <c r="D35" s="355"/>
      <c r="E35" s="355"/>
      <c r="F35" s="355"/>
      <c r="G35" s="355"/>
      <c r="H35" s="355"/>
      <c r="I35" s="355"/>
      <c r="J35" s="145">
        <v>196</v>
      </c>
      <c r="K35" s="148"/>
      <c r="L35" s="148"/>
    </row>
    <row r="36" spans="1:12" s="72" customFormat="1" ht="13.5" customHeight="1">
      <c r="A36" s="355" t="s">
        <v>1818</v>
      </c>
      <c r="B36" s="355"/>
      <c r="C36" s="355"/>
      <c r="D36" s="355"/>
      <c r="E36" s="355"/>
      <c r="F36" s="355"/>
      <c r="G36" s="355"/>
      <c r="H36" s="355"/>
      <c r="I36" s="355"/>
      <c r="J36" s="145">
        <v>197</v>
      </c>
      <c r="K36" s="148"/>
      <c r="L36" s="148"/>
    </row>
    <row r="37" spans="1:12" s="72" customFormat="1" ht="13.5" customHeight="1">
      <c r="A37" s="355" t="s">
        <v>1819</v>
      </c>
      <c r="B37" s="355"/>
      <c r="C37" s="355"/>
      <c r="D37" s="355"/>
      <c r="E37" s="355"/>
      <c r="F37" s="355"/>
      <c r="G37" s="355"/>
      <c r="H37" s="355"/>
      <c r="I37" s="355"/>
      <c r="J37" s="145">
        <v>198</v>
      </c>
      <c r="K37" s="148"/>
      <c r="L37" s="148"/>
    </row>
    <row r="38" spans="1:12" s="72" customFormat="1" ht="13.5" customHeight="1">
      <c r="A38" s="355" t="s">
        <v>1820</v>
      </c>
      <c r="B38" s="355"/>
      <c r="C38" s="355"/>
      <c r="D38" s="355"/>
      <c r="E38" s="355"/>
      <c r="F38" s="355"/>
      <c r="G38" s="355"/>
      <c r="H38" s="355"/>
      <c r="I38" s="355"/>
      <c r="J38" s="145">
        <v>199</v>
      </c>
      <c r="K38" s="148"/>
      <c r="L38" s="148"/>
    </row>
    <row r="39" spans="1:12" s="72" customFormat="1" ht="13.5" customHeight="1">
      <c r="A39" s="355" t="s">
        <v>1821</v>
      </c>
      <c r="B39" s="355"/>
      <c r="C39" s="355"/>
      <c r="D39" s="355"/>
      <c r="E39" s="355"/>
      <c r="F39" s="355"/>
      <c r="G39" s="355"/>
      <c r="H39" s="355"/>
      <c r="I39" s="355"/>
      <c r="J39" s="145">
        <v>200</v>
      </c>
      <c r="K39" s="148"/>
      <c r="L39" s="148"/>
    </row>
    <row r="40" spans="1:12" s="72" customFormat="1" ht="13.5" customHeight="1">
      <c r="A40" s="355" t="s">
        <v>1822</v>
      </c>
      <c r="B40" s="355"/>
      <c r="C40" s="355"/>
      <c r="D40" s="355"/>
      <c r="E40" s="355"/>
      <c r="F40" s="355"/>
      <c r="G40" s="355"/>
      <c r="H40" s="355"/>
      <c r="I40" s="355"/>
      <c r="J40" s="145">
        <v>201</v>
      </c>
      <c r="K40" s="148"/>
      <c r="L40" s="148"/>
    </row>
    <row r="41" spans="1:12" s="72" customFormat="1" ht="13.5" customHeight="1">
      <c r="A41" s="355" t="s">
        <v>1823</v>
      </c>
      <c r="B41" s="355"/>
      <c r="C41" s="355"/>
      <c r="D41" s="355"/>
      <c r="E41" s="355"/>
      <c r="F41" s="355"/>
      <c r="G41" s="355"/>
      <c r="H41" s="355"/>
      <c r="I41" s="355"/>
      <c r="J41" s="145">
        <v>202</v>
      </c>
      <c r="K41" s="148"/>
      <c r="L41" s="148"/>
    </row>
    <row r="42" spans="1:12" s="72" customFormat="1" ht="13.5" customHeight="1">
      <c r="A42" s="355" t="s">
        <v>1824</v>
      </c>
      <c r="B42" s="355"/>
      <c r="C42" s="355"/>
      <c r="D42" s="355"/>
      <c r="E42" s="355"/>
      <c r="F42" s="355"/>
      <c r="G42" s="355"/>
      <c r="H42" s="355"/>
      <c r="I42" s="355"/>
      <c r="J42" s="145">
        <v>203</v>
      </c>
      <c r="K42" s="148"/>
      <c r="L42" s="148"/>
    </row>
    <row r="43" spans="1:12" s="72" customFormat="1" ht="13.5" customHeight="1">
      <c r="A43" s="355" t="s">
        <v>1825</v>
      </c>
      <c r="B43" s="355"/>
      <c r="C43" s="355"/>
      <c r="D43" s="355"/>
      <c r="E43" s="355"/>
      <c r="F43" s="355"/>
      <c r="G43" s="355"/>
      <c r="H43" s="355"/>
      <c r="I43" s="355"/>
      <c r="J43" s="145">
        <v>204</v>
      </c>
      <c r="K43" s="148"/>
      <c r="L43" s="148"/>
    </row>
    <row r="44" spans="1:12" s="72" customFormat="1" ht="13.5" customHeight="1">
      <c r="A44" s="355" t="s">
        <v>1826</v>
      </c>
      <c r="B44" s="355"/>
      <c r="C44" s="355"/>
      <c r="D44" s="355"/>
      <c r="E44" s="355"/>
      <c r="F44" s="355"/>
      <c r="G44" s="355"/>
      <c r="H44" s="355"/>
      <c r="I44" s="355"/>
      <c r="J44" s="145">
        <v>205</v>
      </c>
      <c r="K44" s="148"/>
      <c r="L44" s="148"/>
    </row>
    <row r="45" spans="1:12" s="72" customFormat="1" ht="13.5" customHeight="1">
      <c r="A45" s="353" t="s">
        <v>1827</v>
      </c>
      <c r="B45" s="353"/>
      <c r="C45" s="353"/>
      <c r="D45" s="353"/>
      <c r="E45" s="353"/>
      <c r="F45" s="353"/>
      <c r="G45" s="353"/>
      <c r="H45" s="353"/>
      <c r="I45" s="353"/>
      <c r="J45" s="145">
        <v>206</v>
      </c>
      <c r="K45" s="147">
        <f>SUM(K27:K44)</f>
        <v>0</v>
      </c>
      <c r="L45" s="147">
        <f>SUM(L27:L44)</f>
        <v>0</v>
      </c>
    </row>
    <row r="46" spans="1:12" s="72" customFormat="1" ht="13.5" customHeight="1">
      <c r="A46" s="355" t="s">
        <v>1828</v>
      </c>
      <c r="B46" s="355"/>
      <c r="C46" s="355"/>
      <c r="D46" s="355"/>
      <c r="E46" s="355"/>
      <c r="F46" s="355"/>
      <c r="G46" s="355"/>
      <c r="H46" s="355"/>
      <c r="I46" s="355"/>
      <c r="J46" s="145">
        <v>207</v>
      </c>
      <c r="K46" s="148"/>
      <c r="L46" s="148"/>
    </row>
    <row r="47" spans="1:12" s="72" customFormat="1" ht="13.5" customHeight="1">
      <c r="A47" s="355" t="s">
        <v>1829</v>
      </c>
      <c r="B47" s="355"/>
      <c r="C47" s="355"/>
      <c r="D47" s="355"/>
      <c r="E47" s="355"/>
      <c r="F47" s="355"/>
      <c r="G47" s="355"/>
      <c r="H47" s="355"/>
      <c r="I47" s="355"/>
      <c r="J47" s="145">
        <v>208</v>
      </c>
      <c r="K47" s="148"/>
      <c r="L47" s="148"/>
    </row>
    <row r="48" spans="1:12" s="72" customFormat="1" ht="13.5" customHeight="1">
      <c r="A48" s="355" t="s">
        <v>1830</v>
      </c>
      <c r="B48" s="355"/>
      <c r="C48" s="355"/>
      <c r="D48" s="355"/>
      <c r="E48" s="355"/>
      <c r="F48" s="355"/>
      <c r="G48" s="355"/>
      <c r="H48" s="355"/>
      <c r="I48" s="355"/>
      <c r="J48" s="145">
        <v>209</v>
      </c>
      <c r="K48" s="148"/>
      <c r="L48" s="148"/>
    </row>
    <row r="49" spans="1:12" s="72" customFormat="1" ht="13.5" customHeight="1">
      <c r="A49" s="355" t="s">
        <v>1831</v>
      </c>
      <c r="B49" s="355"/>
      <c r="C49" s="355"/>
      <c r="D49" s="355"/>
      <c r="E49" s="355"/>
      <c r="F49" s="355"/>
      <c r="G49" s="355"/>
      <c r="H49" s="355"/>
      <c r="I49" s="355"/>
      <c r="J49" s="145">
        <v>210</v>
      </c>
      <c r="K49" s="148"/>
      <c r="L49" s="148"/>
    </row>
    <row r="50" spans="1:12" s="72" customFormat="1" ht="13.5" customHeight="1">
      <c r="A50" s="355" t="s">
        <v>1832</v>
      </c>
      <c r="B50" s="355"/>
      <c r="C50" s="355"/>
      <c r="D50" s="355"/>
      <c r="E50" s="355"/>
      <c r="F50" s="355"/>
      <c r="G50" s="355"/>
      <c r="H50" s="355"/>
      <c r="I50" s="355"/>
      <c r="J50" s="145">
        <v>211</v>
      </c>
      <c r="K50" s="148"/>
      <c r="L50" s="148"/>
    </row>
    <row r="51" spans="1:12" s="72" customFormat="1" ht="13.5" customHeight="1">
      <c r="A51" s="353" t="s">
        <v>1833</v>
      </c>
      <c r="B51" s="353"/>
      <c r="C51" s="353"/>
      <c r="D51" s="353"/>
      <c r="E51" s="353"/>
      <c r="F51" s="353"/>
      <c r="G51" s="353"/>
      <c r="H51" s="353"/>
      <c r="I51" s="353"/>
      <c r="J51" s="145">
        <v>212</v>
      </c>
      <c r="K51" s="147">
        <f>SUM(K46:K50)</f>
        <v>0</v>
      </c>
      <c r="L51" s="147">
        <f>SUM(L46:L50)</f>
        <v>0</v>
      </c>
    </row>
    <row r="52" spans="1:12" s="72" customFormat="1" ht="13.5" customHeight="1">
      <c r="A52" s="355" t="s">
        <v>1834</v>
      </c>
      <c r="B52" s="355"/>
      <c r="C52" s="355"/>
      <c r="D52" s="355"/>
      <c r="E52" s="355"/>
      <c r="F52" s="355"/>
      <c r="G52" s="355"/>
      <c r="H52" s="355"/>
      <c r="I52" s="355"/>
      <c r="J52" s="145">
        <v>213</v>
      </c>
      <c r="K52" s="148"/>
      <c r="L52" s="148"/>
    </row>
    <row r="53" spans="1:12" s="72" customFormat="1" ht="13.5" customHeight="1">
      <c r="A53" s="355" t="s">
        <v>1835</v>
      </c>
      <c r="B53" s="355"/>
      <c r="C53" s="355"/>
      <c r="D53" s="355"/>
      <c r="E53" s="355"/>
      <c r="F53" s="355"/>
      <c r="G53" s="355"/>
      <c r="H53" s="355"/>
      <c r="I53" s="355"/>
      <c r="J53" s="145">
        <v>214</v>
      </c>
      <c r="K53" s="148"/>
      <c r="L53" s="148"/>
    </row>
    <row r="54" spans="1:12" s="72" customFormat="1" ht="13.5" customHeight="1">
      <c r="A54" s="355" t="s">
        <v>1836</v>
      </c>
      <c r="B54" s="355"/>
      <c r="C54" s="355"/>
      <c r="D54" s="355"/>
      <c r="E54" s="355"/>
      <c r="F54" s="355"/>
      <c r="G54" s="355"/>
      <c r="H54" s="355"/>
      <c r="I54" s="355"/>
      <c r="J54" s="145">
        <v>215</v>
      </c>
      <c r="K54" s="148"/>
      <c r="L54" s="148"/>
    </row>
    <row r="55" spans="1:12" s="72" customFormat="1" ht="13.5" customHeight="1">
      <c r="A55" s="355" t="s">
        <v>1837</v>
      </c>
      <c r="B55" s="355"/>
      <c r="C55" s="355"/>
      <c r="D55" s="355"/>
      <c r="E55" s="355"/>
      <c r="F55" s="355"/>
      <c r="G55" s="355"/>
      <c r="H55" s="355"/>
      <c r="I55" s="355"/>
      <c r="J55" s="145">
        <v>216</v>
      </c>
      <c r="K55" s="148"/>
      <c r="L55" s="148"/>
    </row>
    <row r="56" spans="1:12" s="72" customFormat="1" ht="13.5" customHeight="1">
      <c r="A56" s="355" t="s">
        <v>1838</v>
      </c>
      <c r="B56" s="355"/>
      <c r="C56" s="355"/>
      <c r="D56" s="355"/>
      <c r="E56" s="355"/>
      <c r="F56" s="355"/>
      <c r="G56" s="355"/>
      <c r="H56" s="355"/>
      <c r="I56" s="355"/>
      <c r="J56" s="145">
        <v>217</v>
      </c>
      <c r="K56" s="148"/>
      <c r="L56" s="148"/>
    </row>
    <row r="57" spans="1:12" s="72" customFormat="1" ht="13.5" customHeight="1">
      <c r="A57" s="355" t="s">
        <v>1839</v>
      </c>
      <c r="B57" s="355"/>
      <c r="C57" s="355"/>
      <c r="D57" s="355"/>
      <c r="E57" s="355"/>
      <c r="F57" s="355"/>
      <c r="G57" s="355"/>
      <c r="H57" s="355"/>
      <c r="I57" s="355"/>
      <c r="J57" s="145">
        <v>218</v>
      </c>
      <c r="K57" s="148"/>
      <c r="L57" s="148"/>
    </row>
    <row r="58" spans="1:12" s="72" customFormat="1" ht="13.5" customHeight="1">
      <c r="A58" s="353" t="s">
        <v>1840</v>
      </c>
      <c r="B58" s="353"/>
      <c r="C58" s="353"/>
      <c r="D58" s="353"/>
      <c r="E58" s="353"/>
      <c r="F58" s="353"/>
      <c r="G58" s="353"/>
      <c r="H58" s="353"/>
      <c r="I58" s="353"/>
      <c r="J58" s="145">
        <v>219</v>
      </c>
      <c r="K58" s="147">
        <f>SUM(K52:K57)</f>
        <v>0</v>
      </c>
      <c r="L58" s="147">
        <f>SUM(L52:L57)</f>
        <v>0</v>
      </c>
    </row>
    <row r="59" spans="1:12" s="72" customFormat="1" ht="13.5" customHeight="1">
      <c r="A59" s="355" t="s">
        <v>1841</v>
      </c>
      <c r="B59" s="355"/>
      <c r="C59" s="355"/>
      <c r="D59" s="355"/>
      <c r="E59" s="355"/>
      <c r="F59" s="355"/>
      <c r="G59" s="355"/>
      <c r="H59" s="355"/>
      <c r="I59" s="355"/>
      <c r="J59" s="145">
        <v>220</v>
      </c>
      <c r="K59" s="148"/>
      <c r="L59" s="148"/>
    </row>
    <row r="60" spans="1:12" s="72" customFormat="1" ht="13.5" customHeight="1">
      <c r="A60" s="355" t="s">
        <v>1842</v>
      </c>
      <c r="B60" s="355"/>
      <c r="C60" s="355"/>
      <c r="D60" s="355"/>
      <c r="E60" s="355"/>
      <c r="F60" s="355"/>
      <c r="G60" s="355"/>
      <c r="H60" s="355"/>
      <c r="I60" s="355"/>
      <c r="J60" s="145">
        <v>221</v>
      </c>
      <c r="K60" s="148"/>
      <c r="L60" s="148"/>
    </row>
    <row r="61" spans="1:12" s="72" customFormat="1" ht="13.5" customHeight="1">
      <c r="A61" s="355" t="s">
        <v>1843</v>
      </c>
      <c r="B61" s="355"/>
      <c r="C61" s="355"/>
      <c r="D61" s="355"/>
      <c r="E61" s="355"/>
      <c r="F61" s="355"/>
      <c r="G61" s="355"/>
      <c r="H61" s="355"/>
      <c r="I61" s="355"/>
      <c r="J61" s="145">
        <v>222</v>
      </c>
      <c r="K61" s="148"/>
      <c r="L61" s="148"/>
    </row>
    <row r="62" spans="1:12" s="72" customFormat="1" ht="13.5" customHeight="1">
      <c r="A62" s="355" t="s">
        <v>1844</v>
      </c>
      <c r="B62" s="355"/>
      <c r="C62" s="355"/>
      <c r="D62" s="355"/>
      <c r="E62" s="355"/>
      <c r="F62" s="355"/>
      <c r="G62" s="355"/>
      <c r="H62" s="355"/>
      <c r="I62" s="355"/>
      <c r="J62" s="145">
        <v>223</v>
      </c>
      <c r="K62" s="148"/>
      <c r="L62" s="148"/>
    </row>
    <row r="63" spans="1:12" s="72" customFormat="1" ht="13.5" customHeight="1">
      <c r="A63" s="355" t="s">
        <v>1845</v>
      </c>
      <c r="B63" s="355"/>
      <c r="C63" s="355"/>
      <c r="D63" s="355"/>
      <c r="E63" s="355"/>
      <c r="F63" s="355"/>
      <c r="G63" s="355"/>
      <c r="H63" s="355"/>
      <c r="I63" s="355"/>
      <c r="J63" s="145">
        <v>224</v>
      </c>
      <c r="K63" s="148"/>
      <c r="L63" s="148"/>
    </row>
    <row r="64" spans="1:12" s="72" customFormat="1" ht="13.5" customHeight="1">
      <c r="A64" s="355" t="s">
        <v>1846</v>
      </c>
      <c r="B64" s="355"/>
      <c r="C64" s="355"/>
      <c r="D64" s="355"/>
      <c r="E64" s="355"/>
      <c r="F64" s="355"/>
      <c r="G64" s="355"/>
      <c r="H64" s="355"/>
      <c r="I64" s="355"/>
      <c r="J64" s="145">
        <v>225</v>
      </c>
      <c r="K64" s="148"/>
      <c r="L64" s="148"/>
    </row>
    <row r="65" spans="1:12" s="72" customFormat="1" ht="13.5" customHeight="1">
      <c r="A65" s="361" t="s">
        <v>1847</v>
      </c>
      <c r="B65" s="361"/>
      <c r="C65" s="361"/>
      <c r="D65" s="361"/>
      <c r="E65" s="361"/>
      <c r="F65" s="361"/>
      <c r="G65" s="361"/>
      <c r="H65" s="361"/>
      <c r="I65" s="361"/>
      <c r="J65" s="149">
        <v>226</v>
      </c>
      <c r="K65" s="161">
        <f>SUM(K59:K64)</f>
        <v>0</v>
      </c>
      <c r="L65" s="161">
        <f>SUM(L59:L64)</f>
        <v>0</v>
      </c>
    </row>
    <row r="66" spans="1:12" s="72" customFormat="1" ht="15" customHeight="1">
      <c r="A66" s="357" t="s">
        <v>1848</v>
      </c>
      <c r="B66" s="357"/>
      <c r="C66" s="357"/>
      <c r="D66" s="357"/>
      <c r="E66" s="357"/>
      <c r="F66" s="357"/>
      <c r="G66" s="357"/>
      <c r="H66" s="357"/>
      <c r="I66" s="357"/>
      <c r="J66" s="357"/>
      <c r="K66" s="357"/>
      <c r="L66" s="357"/>
    </row>
    <row r="67" spans="1:12" s="72" customFormat="1" ht="13.5" customHeight="1">
      <c r="A67" s="374" t="s">
        <v>1849</v>
      </c>
      <c r="B67" s="374"/>
      <c r="C67" s="374"/>
      <c r="D67" s="374"/>
      <c r="E67" s="374"/>
      <c r="F67" s="374"/>
      <c r="G67" s="374"/>
      <c r="H67" s="374"/>
      <c r="I67" s="374"/>
      <c r="J67" s="142">
        <v>227</v>
      </c>
      <c r="K67" s="144"/>
      <c r="L67" s="144"/>
    </row>
    <row r="68" spans="1:12" s="72" customFormat="1" ht="13.5" customHeight="1">
      <c r="A68" s="355" t="s">
        <v>1850</v>
      </c>
      <c r="B68" s="355"/>
      <c r="C68" s="355"/>
      <c r="D68" s="355"/>
      <c r="E68" s="355"/>
      <c r="F68" s="355"/>
      <c r="G68" s="355"/>
      <c r="H68" s="355"/>
      <c r="I68" s="355"/>
      <c r="J68" s="145">
        <v>228</v>
      </c>
      <c r="K68" s="148"/>
      <c r="L68" s="148"/>
    </row>
    <row r="69" spans="1:12" s="72" customFormat="1" ht="13.5" customHeight="1">
      <c r="A69" s="355" t="s">
        <v>1851</v>
      </c>
      <c r="B69" s="355"/>
      <c r="C69" s="355"/>
      <c r="D69" s="355"/>
      <c r="E69" s="355"/>
      <c r="F69" s="355"/>
      <c r="G69" s="355"/>
      <c r="H69" s="355"/>
      <c r="I69" s="355"/>
      <c r="J69" s="145">
        <v>229</v>
      </c>
      <c r="K69" s="148"/>
      <c r="L69" s="148"/>
    </row>
    <row r="70" spans="1:12" s="72" customFormat="1" ht="13.5" customHeight="1">
      <c r="A70" s="355" t="s">
        <v>1852</v>
      </c>
      <c r="B70" s="355"/>
      <c r="C70" s="355"/>
      <c r="D70" s="355"/>
      <c r="E70" s="355"/>
      <c r="F70" s="355"/>
      <c r="G70" s="355"/>
      <c r="H70" s="355"/>
      <c r="I70" s="355"/>
      <c r="J70" s="145">
        <v>230</v>
      </c>
      <c r="K70" s="148"/>
      <c r="L70" s="148"/>
    </row>
    <row r="71" spans="1:12" s="72" customFormat="1" ht="13.5" customHeight="1">
      <c r="A71" s="355" t="s">
        <v>1853</v>
      </c>
      <c r="B71" s="355"/>
      <c r="C71" s="355"/>
      <c r="D71" s="355"/>
      <c r="E71" s="355"/>
      <c r="F71" s="355"/>
      <c r="G71" s="355"/>
      <c r="H71" s="355"/>
      <c r="I71" s="355"/>
      <c r="J71" s="145">
        <v>231</v>
      </c>
      <c r="K71" s="148"/>
      <c r="L71" s="148"/>
    </row>
    <row r="72" spans="1:12" s="72" customFormat="1" ht="13.5" customHeight="1">
      <c r="A72" s="353" t="s">
        <v>1854</v>
      </c>
      <c r="B72" s="353"/>
      <c r="C72" s="353"/>
      <c r="D72" s="353"/>
      <c r="E72" s="353"/>
      <c r="F72" s="353"/>
      <c r="G72" s="353"/>
      <c r="H72" s="353"/>
      <c r="I72" s="353"/>
      <c r="J72" s="145">
        <v>232</v>
      </c>
      <c r="K72" s="147">
        <f>SUM(K67:K71)</f>
        <v>0</v>
      </c>
      <c r="L72" s="147">
        <f>SUM(L67:L71)</f>
        <v>0</v>
      </c>
    </row>
    <row r="73" spans="1:12" s="72" customFormat="1" ht="13.5" customHeight="1">
      <c r="A73" s="355" t="s">
        <v>1855</v>
      </c>
      <c r="B73" s="355"/>
      <c r="C73" s="355"/>
      <c r="D73" s="355"/>
      <c r="E73" s="355"/>
      <c r="F73" s="355"/>
      <c r="G73" s="355"/>
      <c r="H73" s="355"/>
      <c r="I73" s="355"/>
      <c r="J73" s="145">
        <v>233</v>
      </c>
      <c r="K73" s="148"/>
      <c r="L73" s="148"/>
    </row>
    <row r="74" spans="1:12" s="72" customFormat="1" ht="13.5" customHeight="1">
      <c r="A74" s="355" t="s">
        <v>1856</v>
      </c>
      <c r="B74" s="355"/>
      <c r="C74" s="355"/>
      <c r="D74" s="355"/>
      <c r="E74" s="355"/>
      <c r="F74" s="355"/>
      <c r="G74" s="355"/>
      <c r="H74" s="355"/>
      <c r="I74" s="355"/>
      <c r="J74" s="145">
        <v>234</v>
      </c>
      <c r="K74" s="148"/>
      <c r="L74" s="148"/>
    </row>
    <row r="75" spans="1:12" s="72" customFormat="1" ht="13.5" customHeight="1">
      <c r="A75" s="355" t="s">
        <v>1857</v>
      </c>
      <c r="B75" s="355"/>
      <c r="C75" s="355"/>
      <c r="D75" s="355"/>
      <c r="E75" s="355"/>
      <c r="F75" s="355"/>
      <c r="G75" s="355"/>
      <c r="H75" s="355"/>
      <c r="I75" s="355"/>
      <c r="J75" s="145">
        <v>235</v>
      </c>
      <c r="K75" s="148"/>
      <c r="L75" s="148"/>
    </row>
    <row r="76" spans="1:12" s="72" customFormat="1" ht="13.5" customHeight="1">
      <c r="A76" s="355" t="s">
        <v>1858</v>
      </c>
      <c r="B76" s="355"/>
      <c r="C76" s="355"/>
      <c r="D76" s="355"/>
      <c r="E76" s="355"/>
      <c r="F76" s="355"/>
      <c r="G76" s="355"/>
      <c r="H76" s="355"/>
      <c r="I76" s="355"/>
      <c r="J76" s="145">
        <v>236</v>
      </c>
      <c r="K76" s="148"/>
      <c r="L76" s="148"/>
    </row>
    <row r="77" spans="1:12" s="72" customFormat="1" ht="13.5" customHeight="1">
      <c r="A77" s="355" t="s">
        <v>1859</v>
      </c>
      <c r="B77" s="355"/>
      <c r="C77" s="355"/>
      <c r="D77" s="355"/>
      <c r="E77" s="355"/>
      <c r="F77" s="355"/>
      <c r="G77" s="355"/>
      <c r="H77" s="355"/>
      <c r="I77" s="355"/>
      <c r="J77" s="145">
        <v>237</v>
      </c>
      <c r="K77" s="148"/>
      <c r="L77" s="148"/>
    </row>
    <row r="78" spans="1:12" s="72" customFormat="1" ht="13.5" customHeight="1">
      <c r="A78" s="355" t="s">
        <v>1860</v>
      </c>
      <c r="B78" s="355"/>
      <c r="C78" s="355"/>
      <c r="D78" s="355"/>
      <c r="E78" s="355"/>
      <c r="F78" s="355"/>
      <c r="G78" s="355"/>
      <c r="H78" s="355"/>
      <c r="I78" s="355"/>
      <c r="J78" s="145">
        <v>238</v>
      </c>
      <c r="K78" s="148"/>
      <c r="L78" s="148"/>
    </row>
    <row r="79" spans="1:12" s="72" customFormat="1" ht="13.5" customHeight="1">
      <c r="A79" s="361" t="s">
        <v>1861</v>
      </c>
      <c r="B79" s="361"/>
      <c r="C79" s="361"/>
      <c r="D79" s="361"/>
      <c r="E79" s="361"/>
      <c r="F79" s="361"/>
      <c r="G79" s="361"/>
      <c r="H79" s="361"/>
      <c r="I79" s="361"/>
      <c r="J79" s="145">
        <v>239</v>
      </c>
      <c r="K79" s="161">
        <f>SUM(K73:K78)</f>
        <v>0</v>
      </c>
      <c r="L79" s="161">
        <f>SUM(L73:L78)</f>
        <v>0</v>
      </c>
    </row>
    <row r="80" spans="1:12" s="72" customFormat="1" ht="15" customHeight="1">
      <c r="A80" s="357" t="s">
        <v>1720</v>
      </c>
      <c r="B80" s="357"/>
      <c r="C80" s="357"/>
      <c r="D80" s="357"/>
      <c r="E80" s="357"/>
      <c r="F80" s="357"/>
      <c r="G80" s="357"/>
      <c r="H80" s="357"/>
      <c r="I80" s="357"/>
      <c r="J80" s="357"/>
      <c r="K80" s="357"/>
      <c r="L80" s="357"/>
    </row>
    <row r="81" spans="1:12" s="72" customFormat="1" ht="13.5" customHeight="1">
      <c r="A81" s="374" t="s">
        <v>1862</v>
      </c>
      <c r="B81" s="374"/>
      <c r="C81" s="374"/>
      <c r="D81" s="374"/>
      <c r="E81" s="374"/>
      <c r="F81" s="374"/>
      <c r="G81" s="374"/>
      <c r="H81" s="374"/>
      <c r="I81" s="374"/>
      <c r="J81" s="142">
        <v>240</v>
      </c>
      <c r="K81" s="144"/>
      <c r="L81" s="144"/>
    </row>
    <row r="82" spans="1:12" s="72" customFormat="1" ht="27.75" customHeight="1">
      <c r="A82" s="355" t="s">
        <v>1863</v>
      </c>
      <c r="B82" s="355"/>
      <c r="C82" s="355"/>
      <c r="D82" s="355"/>
      <c r="E82" s="355"/>
      <c r="F82" s="355"/>
      <c r="G82" s="355"/>
      <c r="H82" s="355"/>
      <c r="I82" s="355"/>
      <c r="J82" s="145">
        <v>241</v>
      </c>
      <c r="K82" s="148"/>
      <c r="L82" s="148"/>
    </row>
    <row r="83" spans="1:12" s="72" customFormat="1" ht="13.5" customHeight="1">
      <c r="A83" s="355" t="s">
        <v>1864</v>
      </c>
      <c r="B83" s="355"/>
      <c r="C83" s="355"/>
      <c r="D83" s="355"/>
      <c r="E83" s="355"/>
      <c r="F83" s="355"/>
      <c r="G83" s="355"/>
      <c r="H83" s="355"/>
      <c r="I83" s="355"/>
      <c r="J83" s="145">
        <v>242</v>
      </c>
      <c r="K83" s="148"/>
      <c r="L83" s="148"/>
    </row>
    <row r="84" spans="1:12" s="72" customFormat="1" ht="13.5" customHeight="1">
      <c r="A84" s="355" t="s">
        <v>1865</v>
      </c>
      <c r="B84" s="355"/>
      <c r="C84" s="355"/>
      <c r="D84" s="355"/>
      <c r="E84" s="355"/>
      <c r="F84" s="355"/>
      <c r="G84" s="355"/>
      <c r="H84" s="355"/>
      <c r="I84" s="355"/>
      <c r="J84" s="145">
        <v>243</v>
      </c>
      <c r="K84" s="148"/>
      <c r="L84" s="148"/>
    </row>
    <row r="85" spans="1:12" s="72" customFormat="1" ht="13.5" customHeight="1">
      <c r="A85" s="355" t="s">
        <v>1866</v>
      </c>
      <c r="B85" s="355"/>
      <c r="C85" s="355"/>
      <c r="D85" s="355"/>
      <c r="E85" s="355"/>
      <c r="F85" s="355"/>
      <c r="G85" s="355"/>
      <c r="H85" s="355"/>
      <c r="I85" s="355"/>
      <c r="J85" s="145">
        <v>244</v>
      </c>
      <c r="K85" s="148"/>
      <c r="L85" s="148"/>
    </row>
    <row r="86" spans="1:12" s="72" customFormat="1" ht="13.5" customHeight="1">
      <c r="A86" s="355" t="s">
        <v>1867</v>
      </c>
      <c r="B86" s="355"/>
      <c r="C86" s="355"/>
      <c r="D86" s="355"/>
      <c r="E86" s="355"/>
      <c r="F86" s="355"/>
      <c r="G86" s="355"/>
      <c r="H86" s="355"/>
      <c r="I86" s="355"/>
      <c r="J86" s="145">
        <v>245</v>
      </c>
      <c r="K86" s="148"/>
      <c r="L86" s="148"/>
    </row>
    <row r="87" spans="1:12" s="72" customFormat="1" ht="13.5" customHeight="1">
      <c r="A87" s="355" t="s">
        <v>1868</v>
      </c>
      <c r="B87" s="355"/>
      <c r="C87" s="355"/>
      <c r="D87" s="355"/>
      <c r="E87" s="355"/>
      <c r="F87" s="355"/>
      <c r="G87" s="355"/>
      <c r="H87" s="355"/>
      <c r="I87" s="355"/>
      <c r="J87" s="145">
        <v>246</v>
      </c>
      <c r="K87" s="148"/>
      <c r="L87" s="148"/>
    </row>
    <row r="88" spans="1:12" s="72" customFormat="1" ht="13.5" customHeight="1">
      <c r="A88" s="355" t="s">
        <v>1869</v>
      </c>
      <c r="B88" s="355"/>
      <c r="C88" s="355"/>
      <c r="D88" s="355"/>
      <c r="E88" s="355"/>
      <c r="F88" s="355"/>
      <c r="G88" s="355"/>
      <c r="H88" s="355"/>
      <c r="I88" s="355"/>
      <c r="J88" s="145">
        <v>247</v>
      </c>
      <c r="K88" s="148"/>
      <c r="L88" s="148"/>
    </row>
    <row r="89" spans="1:12" s="72" customFormat="1" ht="13.5" customHeight="1">
      <c r="A89" s="355" t="s">
        <v>1870</v>
      </c>
      <c r="B89" s="355"/>
      <c r="C89" s="355"/>
      <c r="D89" s="355"/>
      <c r="E89" s="355"/>
      <c r="F89" s="355"/>
      <c r="G89" s="355"/>
      <c r="H89" s="355"/>
      <c r="I89" s="355"/>
      <c r="J89" s="145">
        <v>248</v>
      </c>
      <c r="K89" s="148"/>
      <c r="L89" s="148"/>
    </row>
    <row r="90" spans="1:12" s="72" customFormat="1" ht="13.5" customHeight="1">
      <c r="A90" s="355" t="s">
        <v>1871</v>
      </c>
      <c r="B90" s="355"/>
      <c r="C90" s="355"/>
      <c r="D90" s="355"/>
      <c r="E90" s="355"/>
      <c r="F90" s="355"/>
      <c r="G90" s="355"/>
      <c r="H90" s="355"/>
      <c r="I90" s="355"/>
      <c r="J90" s="145">
        <v>249</v>
      </c>
      <c r="K90" s="148"/>
      <c r="L90" s="148"/>
    </row>
    <row r="91" spans="1:14" s="72" customFormat="1" ht="13.5" customHeight="1">
      <c r="A91" s="353" t="s">
        <v>1872</v>
      </c>
      <c r="B91" s="353"/>
      <c r="C91" s="353"/>
      <c r="D91" s="353"/>
      <c r="E91" s="353"/>
      <c r="F91" s="353"/>
      <c r="G91" s="353"/>
      <c r="H91" s="353"/>
      <c r="I91" s="353"/>
      <c r="J91" s="145">
        <v>250</v>
      </c>
      <c r="K91" s="147">
        <f>SUM(K81:K90)</f>
        <v>0</v>
      </c>
      <c r="L91" s="147">
        <f>SUM(L81:L90)</f>
        <v>0</v>
      </c>
      <c r="N91" s="173"/>
    </row>
    <row r="92" spans="1:14" s="72" customFormat="1" ht="13.5" customHeight="1">
      <c r="A92" s="355" t="s">
        <v>1873</v>
      </c>
      <c r="B92" s="355"/>
      <c r="C92" s="355"/>
      <c r="D92" s="355"/>
      <c r="E92" s="355"/>
      <c r="F92" s="355"/>
      <c r="G92" s="355"/>
      <c r="H92" s="355"/>
      <c r="I92" s="355"/>
      <c r="J92" s="145">
        <v>251</v>
      </c>
      <c r="K92" s="148"/>
      <c r="L92" s="148"/>
      <c r="N92" s="173"/>
    </row>
    <row r="93" spans="1:14" s="72" customFormat="1" ht="13.5" customHeight="1">
      <c r="A93" s="355" t="s">
        <v>1874</v>
      </c>
      <c r="B93" s="355"/>
      <c r="C93" s="355"/>
      <c r="D93" s="355"/>
      <c r="E93" s="355"/>
      <c r="F93" s="355"/>
      <c r="G93" s="355"/>
      <c r="H93" s="355"/>
      <c r="I93" s="355"/>
      <c r="J93" s="145">
        <v>252</v>
      </c>
      <c r="K93" s="148"/>
      <c r="L93" s="148"/>
      <c r="N93" s="173"/>
    </row>
    <row r="94" spans="1:14" s="72" customFormat="1" ht="13.5" customHeight="1">
      <c r="A94" s="355" t="s">
        <v>1875</v>
      </c>
      <c r="B94" s="355"/>
      <c r="C94" s="355"/>
      <c r="D94" s="355"/>
      <c r="E94" s="355"/>
      <c r="F94" s="355"/>
      <c r="G94" s="355"/>
      <c r="H94" s="355"/>
      <c r="I94" s="355"/>
      <c r="J94" s="145">
        <v>253</v>
      </c>
      <c r="K94" s="148"/>
      <c r="L94" s="148"/>
      <c r="N94" s="173"/>
    </row>
    <row r="95" spans="1:14" s="72" customFormat="1" ht="13.5" customHeight="1">
      <c r="A95" s="355" t="s">
        <v>1876</v>
      </c>
      <c r="B95" s="355"/>
      <c r="C95" s="355"/>
      <c r="D95" s="355"/>
      <c r="E95" s="355"/>
      <c r="F95" s="355"/>
      <c r="G95" s="355"/>
      <c r="H95" s="355"/>
      <c r="I95" s="355"/>
      <c r="J95" s="145">
        <v>254</v>
      </c>
      <c r="K95" s="148"/>
      <c r="L95" s="148"/>
      <c r="N95" s="173"/>
    </row>
    <row r="96" spans="1:14" s="72" customFormat="1" ht="13.5" customHeight="1">
      <c r="A96" s="353" t="s">
        <v>1877</v>
      </c>
      <c r="B96" s="353"/>
      <c r="C96" s="353"/>
      <c r="D96" s="353"/>
      <c r="E96" s="353"/>
      <c r="F96" s="353"/>
      <c r="G96" s="353"/>
      <c r="H96" s="353"/>
      <c r="I96" s="353"/>
      <c r="J96" s="145">
        <v>255</v>
      </c>
      <c r="K96" s="147">
        <f>SUM(K92:K95)</f>
        <v>0</v>
      </c>
      <c r="L96" s="147">
        <f>SUM(L92:L95)</f>
        <v>0</v>
      </c>
      <c r="N96" s="173"/>
    </row>
    <row r="97" spans="1:14" s="72" customFormat="1" ht="13.5" customHeight="1">
      <c r="A97" s="355" t="s">
        <v>1878</v>
      </c>
      <c r="B97" s="355"/>
      <c r="C97" s="355"/>
      <c r="D97" s="355"/>
      <c r="E97" s="355"/>
      <c r="F97" s="355"/>
      <c r="G97" s="355"/>
      <c r="H97" s="355"/>
      <c r="I97" s="355"/>
      <c r="J97" s="145">
        <v>256</v>
      </c>
      <c r="K97" s="148"/>
      <c r="L97" s="148"/>
      <c r="N97" s="173"/>
    </row>
    <row r="98" spans="1:14" s="72" customFormat="1" ht="13.5" customHeight="1">
      <c r="A98" s="355" t="s">
        <v>1879</v>
      </c>
      <c r="B98" s="355"/>
      <c r="C98" s="355"/>
      <c r="D98" s="355"/>
      <c r="E98" s="355"/>
      <c r="F98" s="355"/>
      <c r="G98" s="355"/>
      <c r="H98" s="355"/>
      <c r="I98" s="355"/>
      <c r="J98" s="145">
        <v>257</v>
      </c>
      <c r="K98" s="148"/>
      <c r="L98" s="148"/>
      <c r="N98" s="173"/>
    </row>
    <row r="99" spans="1:14" s="72" customFormat="1" ht="13.5" customHeight="1">
      <c r="A99" s="353" t="s">
        <v>1880</v>
      </c>
      <c r="B99" s="353"/>
      <c r="C99" s="353"/>
      <c r="D99" s="353"/>
      <c r="E99" s="353"/>
      <c r="F99" s="353"/>
      <c r="G99" s="353"/>
      <c r="H99" s="353"/>
      <c r="I99" s="353"/>
      <c r="J99" s="145">
        <v>258</v>
      </c>
      <c r="K99" s="147">
        <f>SUM(K97:K98)</f>
        <v>0</v>
      </c>
      <c r="L99" s="147">
        <f>SUM(L97:L98)</f>
        <v>0</v>
      </c>
      <c r="N99" s="173"/>
    </row>
    <row r="100" spans="1:12" s="72" customFormat="1" ht="13.5" customHeight="1">
      <c r="A100" s="355" t="s">
        <v>1881</v>
      </c>
      <c r="B100" s="355"/>
      <c r="C100" s="355"/>
      <c r="D100" s="355"/>
      <c r="E100" s="355"/>
      <c r="F100" s="355"/>
      <c r="G100" s="355"/>
      <c r="H100" s="355"/>
      <c r="I100" s="355"/>
      <c r="J100" s="145">
        <v>259</v>
      </c>
      <c r="K100" s="148"/>
      <c r="L100" s="148"/>
    </row>
    <row r="101" spans="1:12" s="72" customFormat="1" ht="13.5" customHeight="1">
      <c r="A101" s="355" t="s">
        <v>1882</v>
      </c>
      <c r="B101" s="355"/>
      <c r="C101" s="355"/>
      <c r="D101" s="355"/>
      <c r="E101" s="355"/>
      <c r="F101" s="355"/>
      <c r="G101" s="355"/>
      <c r="H101" s="355"/>
      <c r="I101" s="355"/>
      <c r="J101" s="145">
        <v>260</v>
      </c>
      <c r="K101" s="148"/>
      <c r="L101" s="148"/>
    </row>
    <row r="102" spans="1:12" s="72" customFormat="1" ht="27.75" customHeight="1">
      <c r="A102" s="355" t="s">
        <v>1883</v>
      </c>
      <c r="B102" s="355"/>
      <c r="C102" s="355"/>
      <c r="D102" s="355"/>
      <c r="E102" s="355"/>
      <c r="F102" s="355"/>
      <c r="G102" s="355"/>
      <c r="H102" s="355"/>
      <c r="I102" s="355"/>
      <c r="J102" s="145">
        <v>261</v>
      </c>
      <c r="K102" s="148"/>
      <c r="L102" s="148"/>
    </row>
    <row r="103" spans="1:12" s="72" customFormat="1" ht="13.5" customHeight="1">
      <c r="A103" s="355" t="s">
        <v>1884</v>
      </c>
      <c r="B103" s="355"/>
      <c r="C103" s="355"/>
      <c r="D103" s="355"/>
      <c r="E103" s="355"/>
      <c r="F103" s="355"/>
      <c r="G103" s="355"/>
      <c r="H103" s="355"/>
      <c r="I103" s="355"/>
      <c r="J103" s="145">
        <v>262</v>
      </c>
      <c r="K103" s="148"/>
      <c r="L103" s="148"/>
    </row>
    <row r="104" spans="1:12" s="72" customFormat="1" ht="13.5" customHeight="1">
      <c r="A104" s="355" t="s">
        <v>1885</v>
      </c>
      <c r="B104" s="355"/>
      <c r="C104" s="355"/>
      <c r="D104" s="355"/>
      <c r="E104" s="355"/>
      <c r="F104" s="355"/>
      <c r="G104" s="355"/>
      <c r="H104" s="355"/>
      <c r="I104" s="355"/>
      <c r="J104" s="145">
        <v>263</v>
      </c>
      <c r="K104" s="148"/>
      <c r="L104" s="148"/>
    </row>
    <row r="105" spans="1:12" s="72" customFormat="1" ht="13.5" customHeight="1">
      <c r="A105" s="355" t="s">
        <v>1886</v>
      </c>
      <c r="B105" s="355"/>
      <c r="C105" s="355"/>
      <c r="D105" s="355"/>
      <c r="E105" s="355"/>
      <c r="F105" s="355"/>
      <c r="G105" s="355"/>
      <c r="H105" s="355"/>
      <c r="I105" s="355"/>
      <c r="J105" s="145">
        <v>264</v>
      </c>
      <c r="K105" s="148"/>
      <c r="L105" s="148"/>
    </row>
    <row r="106" spans="1:12" s="72" customFormat="1" ht="13.5" customHeight="1">
      <c r="A106" s="355" t="s">
        <v>1887</v>
      </c>
      <c r="B106" s="355"/>
      <c r="C106" s="355"/>
      <c r="D106" s="355"/>
      <c r="E106" s="355"/>
      <c r="F106" s="355"/>
      <c r="G106" s="355"/>
      <c r="H106" s="355"/>
      <c r="I106" s="355"/>
      <c r="J106" s="145">
        <v>265</v>
      </c>
      <c r="K106" s="148"/>
      <c r="L106" s="148"/>
    </row>
    <row r="107" spans="1:12" s="72" customFormat="1" ht="27.75" customHeight="1">
      <c r="A107" s="355" t="s">
        <v>1888</v>
      </c>
      <c r="B107" s="355"/>
      <c r="C107" s="355"/>
      <c r="D107" s="355"/>
      <c r="E107" s="355"/>
      <c r="F107" s="355"/>
      <c r="G107" s="355"/>
      <c r="H107" s="355"/>
      <c r="I107" s="355"/>
      <c r="J107" s="145">
        <v>266</v>
      </c>
      <c r="K107" s="148"/>
      <c r="L107" s="148"/>
    </row>
    <row r="108" spans="1:12" s="72" customFormat="1" ht="13.5" customHeight="1">
      <c r="A108" s="355" t="s">
        <v>1889</v>
      </c>
      <c r="B108" s="355"/>
      <c r="C108" s="355"/>
      <c r="D108" s="355"/>
      <c r="E108" s="355"/>
      <c r="F108" s="355"/>
      <c r="G108" s="355"/>
      <c r="H108" s="355"/>
      <c r="I108" s="355"/>
      <c r="J108" s="145">
        <v>267</v>
      </c>
      <c r="K108" s="148"/>
      <c r="L108" s="148"/>
    </row>
    <row r="109" spans="1:12" s="72" customFormat="1" ht="13.5" customHeight="1">
      <c r="A109" s="355" t="s">
        <v>1890</v>
      </c>
      <c r="B109" s="355"/>
      <c r="C109" s="355"/>
      <c r="D109" s="355"/>
      <c r="E109" s="355"/>
      <c r="F109" s="355"/>
      <c r="G109" s="355"/>
      <c r="H109" s="355"/>
      <c r="I109" s="355"/>
      <c r="J109" s="145">
        <v>268</v>
      </c>
      <c r="K109" s="148"/>
      <c r="L109" s="148"/>
    </row>
    <row r="110" spans="1:12" s="72" customFormat="1" ht="13.5" customHeight="1">
      <c r="A110" s="355" t="s">
        <v>1891</v>
      </c>
      <c r="B110" s="355"/>
      <c r="C110" s="355"/>
      <c r="D110" s="355"/>
      <c r="E110" s="355"/>
      <c r="F110" s="355"/>
      <c r="G110" s="355"/>
      <c r="H110" s="355"/>
      <c r="I110" s="355"/>
      <c r="J110" s="145">
        <v>269</v>
      </c>
      <c r="K110" s="148"/>
      <c r="L110" s="148"/>
    </row>
    <row r="111" spans="1:12" s="72" customFormat="1" ht="13.5" customHeight="1">
      <c r="A111" s="355" t="s">
        <v>1892</v>
      </c>
      <c r="B111" s="355"/>
      <c r="C111" s="355"/>
      <c r="D111" s="355"/>
      <c r="E111" s="355"/>
      <c r="F111" s="355"/>
      <c r="G111" s="355"/>
      <c r="H111" s="355"/>
      <c r="I111" s="355"/>
      <c r="J111" s="145">
        <v>270</v>
      </c>
      <c r="K111" s="148"/>
      <c r="L111" s="148"/>
    </row>
    <row r="112" spans="1:12" s="72" customFormat="1" ht="13.5" customHeight="1">
      <c r="A112" s="355" t="s">
        <v>1893</v>
      </c>
      <c r="B112" s="355"/>
      <c r="C112" s="355"/>
      <c r="D112" s="355"/>
      <c r="E112" s="355"/>
      <c r="F112" s="355"/>
      <c r="G112" s="355"/>
      <c r="H112" s="355"/>
      <c r="I112" s="355"/>
      <c r="J112" s="145">
        <v>271</v>
      </c>
      <c r="K112" s="148"/>
      <c r="L112" s="148"/>
    </row>
    <row r="113" spans="1:12" s="72" customFormat="1" ht="13.5" customHeight="1">
      <c r="A113" s="355" t="s">
        <v>1894</v>
      </c>
      <c r="B113" s="355"/>
      <c r="C113" s="355"/>
      <c r="D113" s="355"/>
      <c r="E113" s="355"/>
      <c r="F113" s="355"/>
      <c r="G113" s="355"/>
      <c r="H113" s="355"/>
      <c r="I113" s="355"/>
      <c r="J113" s="145">
        <v>272</v>
      </c>
      <c r="K113" s="148"/>
      <c r="L113" s="148"/>
    </row>
    <row r="114" spans="1:12" s="72" customFormat="1" ht="13.5" customHeight="1">
      <c r="A114" s="355" t="s">
        <v>1895</v>
      </c>
      <c r="B114" s="355"/>
      <c r="C114" s="355"/>
      <c r="D114" s="355"/>
      <c r="E114" s="355"/>
      <c r="F114" s="355"/>
      <c r="G114" s="355"/>
      <c r="H114" s="355"/>
      <c r="I114" s="355"/>
      <c r="J114" s="145">
        <v>273</v>
      </c>
      <c r="K114" s="148"/>
      <c r="L114" s="148"/>
    </row>
    <row r="115" spans="1:12" s="72" customFormat="1" ht="13.5" customHeight="1">
      <c r="A115" s="355" t="s">
        <v>1896</v>
      </c>
      <c r="B115" s="355"/>
      <c r="C115" s="355"/>
      <c r="D115" s="355"/>
      <c r="E115" s="355"/>
      <c r="F115" s="355"/>
      <c r="G115" s="355"/>
      <c r="H115" s="355"/>
      <c r="I115" s="355"/>
      <c r="J115" s="145">
        <v>274</v>
      </c>
      <c r="K115" s="148"/>
      <c r="L115" s="148"/>
    </row>
    <row r="116" spans="1:12" s="72" customFormat="1" ht="13.5" customHeight="1">
      <c r="A116" s="355" t="s">
        <v>1897</v>
      </c>
      <c r="B116" s="355"/>
      <c r="C116" s="355"/>
      <c r="D116" s="355"/>
      <c r="E116" s="355"/>
      <c r="F116" s="355"/>
      <c r="G116" s="355"/>
      <c r="H116" s="355"/>
      <c r="I116" s="355"/>
      <c r="J116" s="145">
        <v>275</v>
      </c>
      <c r="K116" s="148"/>
      <c r="L116" s="148"/>
    </row>
    <row r="117" spans="1:12" s="72" customFormat="1" ht="27.75" customHeight="1">
      <c r="A117" s="355" t="s">
        <v>1898</v>
      </c>
      <c r="B117" s="355"/>
      <c r="C117" s="355"/>
      <c r="D117" s="355"/>
      <c r="E117" s="355"/>
      <c r="F117" s="355"/>
      <c r="G117" s="355"/>
      <c r="H117" s="355"/>
      <c r="I117" s="355"/>
      <c r="J117" s="145">
        <v>276</v>
      </c>
      <c r="K117" s="148"/>
      <c r="L117" s="148"/>
    </row>
    <row r="118" spans="1:12" s="72" customFormat="1" ht="13.5" customHeight="1">
      <c r="A118" s="353" t="s">
        <v>1899</v>
      </c>
      <c r="B118" s="353"/>
      <c r="C118" s="353"/>
      <c r="D118" s="353"/>
      <c r="E118" s="353"/>
      <c r="F118" s="353"/>
      <c r="G118" s="353"/>
      <c r="H118" s="353"/>
      <c r="I118" s="353"/>
      <c r="J118" s="145">
        <v>277</v>
      </c>
      <c r="K118" s="147">
        <f>SUM(K100:K117)</f>
        <v>0</v>
      </c>
      <c r="L118" s="147">
        <f>SUM(L100:L117)</f>
        <v>0</v>
      </c>
    </row>
    <row r="119" spans="1:12" s="72" customFormat="1" ht="13.5" customHeight="1">
      <c r="A119" s="355" t="s">
        <v>1900</v>
      </c>
      <c r="B119" s="355"/>
      <c r="C119" s="355"/>
      <c r="D119" s="355"/>
      <c r="E119" s="355"/>
      <c r="F119" s="355"/>
      <c r="G119" s="355"/>
      <c r="H119" s="355"/>
      <c r="I119" s="355"/>
      <c r="J119" s="145">
        <v>278</v>
      </c>
      <c r="K119" s="148"/>
      <c r="L119" s="148"/>
    </row>
    <row r="120" spans="1:12" s="72" customFormat="1" ht="27.75" customHeight="1">
      <c r="A120" s="355" t="s">
        <v>1901</v>
      </c>
      <c r="B120" s="355"/>
      <c r="C120" s="355"/>
      <c r="D120" s="355"/>
      <c r="E120" s="355"/>
      <c r="F120" s="355"/>
      <c r="G120" s="355"/>
      <c r="H120" s="355"/>
      <c r="I120" s="355"/>
      <c r="J120" s="145">
        <v>279</v>
      </c>
      <c r="K120" s="148"/>
      <c r="L120" s="148"/>
    </row>
    <row r="121" spans="1:12" s="72" customFormat="1" ht="13.5" customHeight="1">
      <c r="A121" s="355" t="s">
        <v>1902</v>
      </c>
      <c r="B121" s="355"/>
      <c r="C121" s="355"/>
      <c r="D121" s="355"/>
      <c r="E121" s="355"/>
      <c r="F121" s="355"/>
      <c r="G121" s="355"/>
      <c r="H121" s="355"/>
      <c r="I121" s="355"/>
      <c r="J121" s="145">
        <v>280</v>
      </c>
      <c r="K121" s="148"/>
      <c r="L121" s="148"/>
    </row>
    <row r="122" spans="1:12" s="72" customFormat="1" ht="13.5" customHeight="1">
      <c r="A122" s="353" t="s">
        <v>1903</v>
      </c>
      <c r="B122" s="353"/>
      <c r="C122" s="353"/>
      <c r="D122" s="353"/>
      <c r="E122" s="353"/>
      <c r="F122" s="353"/>
      <c r="G122" s="353"/>
      <c r="H122" s="353"/>
      <c r="I122" s="353"/>
      <c r="J122" s="145">
        <v>281</v>
      </c>
      <c r="K122" s="147">
        <f>SUM(K119:K121)</f>
        <v>0</v>
      </c>
      <c r="L122" s="147">
        <f>SUM(L119:L121)</f>
        <v>0</v>
      </c>
    </row>
    <row r="123" spans="1:12" s="72" customFormat="1" ht="13.5" customHeight="1">
      <c r="A123" s="355" t="s">
        <v>1904</v>
      </c>
      <c r="B123" s="355"/>
      <c r="C123" s="355"/>
      <c r="D123" s="355"/>
      <c r="E123" s="355"/>
      <c r="F123" s="355"/>
      <c r="G123" s="355"/>
      <c r="H123" s="355"/>
      <c r="I123" s="355"/>
      <c r="J123" s="145">
        <v>282</v>
      </c>
      <c r="K123" s="148"/>
      <c r="L123" s="148"/>
    </row>
    <row r="124" spans="1:12" s="72" customFormat="1" ht="19.5" customHeight="1">
      <c r="A124" s="355" t="s">
        <v>1905</v>
      </c>
      <c r="B124" s="355"/>
      <c r="C124" s="355"/>
      <c r="D124" s="355"/>
      <c r="E124" s="355"/>
      <c r="F124" s="355"/>
      <c r="G124" s="355"/>
      <c r="H124" s="355"/>
      <c r="I124" s="355"/>
      <c r="J124" s="145">
        <v>283</v>
      </c>
      <c r="K124" s="148"/>
      <c r="L124" s="148"/>
    </row>
    <row r="125" spans="1:12" s="72" customFormat="1" ht="13.5" customHeight="1">
      <c r="A125" s="355" t="s">
        <v>1906</v>
      </c>
      <c r="B125" s="355"/>
      <c r="C125" s="355"/>
      <c r="D125" s="355"/>
      <c r="E125" s="355"/>
      <c r="F125" s="355"/>
      <c r="G125" s="355"/>
      <c r="H125" s="355"/>
      <c r="I125" s="355"/>
      <c r="J125" s="145">
        <v>284</v>
      </c>
      <c r="K125" s="148"/>
      <c r="L125" s="148"/>
    </row>
    <row r="126" spans="1:12" s="72" customFormat="1" ht="27.75" customHeight="1">
      <c r="A126" s="355" t="s">
        <v>1907</v>
      </c>
      <c r="B126" s="355"/>
      <c r="C126" s="355"/>
      <c r="D126" s="355"/>
      <c r="E126" s="355"/>
      <c r="F126" s="355"/>
      <c r="G126" s="355"/>
      <c r="H126" s="355"/>
      <c r="I126" s="355"/>
      <c r="J126" s="145">
        <v>285</v>
      </c>
      <c r="K126" s="148"/>
      <c r="L126" s="148"/>
    </row>
    <row r="127" spans="1:12" s="72" customFormat="1" ht="13.5" customHeight="1">
      <c r="A127" s="353" t="s">
        <v>1908</v>
      </c>
      <c r="B127" s="353"/>
      <c r="C127" s="353"/>
      <c r="D127" s="353"/>
      <c r="E127" s="353"/>
      <c r="F127" s="353"/>
      <c r="G127" s="353"/>
      <c r="H127" s="353"/>
      <c r="I127" s="353"/>
      <c r="J127" s="145">
        <v>286</v>
      </c>
      <c r="K127" s="147">
        <f>SUM(K123:K126)</f>
        <v>0</v>
      </c>
      <c r="L127" s="147">
        <f>SUM(L123:L126)</f>
        <v>0</v>
      </c>
    </row>
    <row r="128" spans="1:12" s="72" customFormat="1" ht="13.5" customHeight="1">
      <c r="A128" s="355" t="s">
        <v>1909</v>
      </c>
      <c r="B128" s="355"/>
      <c r="C128" s="355"/>
      <c r="D128" s="355"/>
      <c r="E128" s="355"/>
      <c r="F128" s="355"/>
      <c r="G128" s="355"/>
      <c r="H128" s="355"/>
      <c r="I128" s="355"/>
      <c r="J128" s="145">
        <v>287</v>
      </c>
      <c r="K128" s="148"/>
      <c r="L128" s="148"/>
    </row>
    <row r="129" spans="1:12" s="72" customFormat="1" ht="27.75" customHeight="1">
      <c r="A129" s="355" t="s">
        <v>1910</v>
      </c>
      <c r="B129" s="355"/>
      <c r="C129" s="355"/>
      <c r="D129" s="355"/>
      <c r="E129" s="355"/>
      <c r="F129" s="355"/>
      <c r="G129" s="355"/>
      <c r="H129" s="355"/>
      <c r="I129" s="355"/>
      <c r="J129" s="145">
        <v>288</v>
      </c>
      <c r="K129" s="148"/>
      <c r="L129" s="148"/>
    </row>
    <row r="130" spans="1:12" s="72" customFormat="1" ht="13.5" customHeight="1">
      <c r="A130" s="355" t="s">
        <v>1911</v>
      </c>
      <c r="B130" s="355"/>
      <c r="C130" s="355"/>
      <c r="D130" s="355"/>
      <c r="E130" s="355"/>
      <c r="F130" s="355"/>
      <c r="G130" s="355"/>
      <c r="H130" s="355"/>
      <c r="I130" s="355"/>
      <c r="J130" s="145">
        <v>289</v>
      </c>
      <c r="K130" s="148"/>
      <c r="L130" s="148"/>
    </row>
    <row r="131" spans="1:12" s="72" customFormat="1" ht="27.75" customHeight="1">
      <c r="A131" s="355" t="s">
        <v>1912</v>
      </c>
      <c r="B131" s="355"/>
      <c r="C131" s="355"/>
      <c r="D131" s="355"/>
      <c r="E131" s="355"/>
      <c r="F131" s="355"/>
      <c r="G131" s="355"/>
      <c r="H131" s="355"/>
      <c r="I131" s="355"/>
      <c r="J131" s="145">
        <v>290</v>
      </c>
      <c r="K131" s="148"/>
      <c r="L131" s="148"/>
    </row>
    <row r="132" spans="1:12" s="72" customFormat="1" ht="13.5" customHeight="1">
      <c r="A132" s="355" t="s">
        <v>1913</v>
      </c>
      <c r="B132" s="355"/>
      <c r="C132" s="355"/>
      <c r="D132" s="355"/>
      <c r="E132" s="355"/>
      <c r="F132" s="355"/>
      <c r="G132" s="355"/>
      <c r="H132" s="355"/>
      <c r="I132" s="355"/>
      <c r="J132" s="145">
        <v>291</v>
      </c>
      <c r="K132" s="148"/>
      <c r="L132" s="148"/>
    </row>
    <row r="133" spans="1:12" s="72" customFormat="1" ht="13.5" customHeight="1">
      <c r="A133" s="355" t="s">
        <v>1914</v>
      </c>
      <c r="B133" s="355"/>
      <c r="C133" s="355"/>
      <c r="D133" s="355"/>
      <c r="E133" s="355"/>
      <c r="F133" s="355"/>
      <c r="G133" s="355"/>
      <c r="H133" s="355"/>
      <c r="I133" s="355"/>
      <c r="J133" s="145">
        <v>292</v>
      </c>
      <c r="K133" s="148"/>
      <c r="L133" s="148"/>
    </row>
    <row r="134" spans="1:12" s="72" customFormat="1" ht="13.5" customHeight="1">
      <c r="A134" s="361" t="s">
        <v>1915</v>
      </c>
      <c r="B134" s="361"/>
      <c r="C134" s="361"/>
      <c r="D134" s="361"/>
      <c r="E134" s="361"/>
      <c r="F134" s="361"/>
      <c r="G134" s="361"/>
      <c r="H134" s="361"/>
      <c r="I134" s="361"/>
      <c r="J134" s="145">
        <v>293</v>
      </c>
      <c r="K134" s="161">
        <f>SUM(K128:K133)</f>
        <v>0</v>
      </c>
      <c r="L134" s="161">
        <f>SUM(L128:L133)</f>
        <v>0</v>
      </c>
    </row>
    <row r="135" spans="1:12" s="72" customFormat="1" ht="15" customHeight="1">
      <c r="A135" s="357" t="s">
        <v>1916</v>
      </c>
      <c r="B135" s="357"/>
      <c r="C135" s="357"/>
      <c r="D135" s="357"/>
      <c r="E135" s="357"/>
      <c r="F135" s="357"/>
      <c r="G135" s="357"/>
      <c r="H135" s="357"/>
      <c r="I135" s="357"/>
      <c r="J135" s="357"/>
      <c r="K135" s="357"/>
      <c r="L135" s="357"/>
    </row>
    <row r="136" spans="1:12" s="72" customFormat="1" ht="27.75" customHeight="1">
      <c r="A136" s="374" t="s">
        <v>1917</v>
      </c>
      <c r="B136" s="374"/>
      <c r="C136" s="374"/>
      <c r="D136" s="374"/>
      <c r="E136" s="374"/>
      <c r="F136" s="374"/>
      <c r="G136" s="374"/>
      <c r="H136" s="374"/>
      <c r="I136" s="374"/>
      <c r="J136" s="142">
        <v>294</v>
      </c>
      <c r="K136" s="144"/>
      <c r="L136" s="144"/>
    </row>
    <row r="137" spans="1:12" s="72" customFormat="1" ht="13.5" customHeight="1">
      <c r="A137" s="355" t="s">
        <v>1918</v>
      </c>
      <c r="B137" s="355"/>
      <c r="C137" s="355"/>
      <c r="D137" s="355"/>
      <c r="E137" s="355"/>
      <c r="F137" s="355"/>
      <c r="G137" s="355"/>
      <c r="H137" s="355"/>
      <c r="I137" s="355"/>
      <c r="J137" s="145">
        <v>295</v>
      </c>
      <c r="K137" s="148"/>
      <c r="L137" s="148"/>
    </row>
    <row r="138" spans="1:12" s="72" customFormat="1" ht="13.5" customHeight="1">
      <c r="A138" s="355" t="s">
        <v>1919</v>
      </c>
      <c r="B138" s="355"/>
      <c r="C138" s="355"/>
      <c r="D138" s="355"/>
      <c r="E138" s="355"/>
      <c r="F138" s="355"/>
      <c r="G138" s="355"/>
      <c r="H138" s="355"/>
      <c r="I138" s="355"/>
      <c r="J138" s="145">
        <v>296</v>
      </c>
      <c r="K138" s="148"/>
      <c r="L138" s="148"/>
    </row>
    <row r="139" spans="1:12" s="72" customFormat="1" ht="13.5" customHeight="1">
      <c r="A139" s="355" t="s">
        <v>1920</v>
      </c>
      <c r="B139" s="355"/>
      <c r="C139" s="355"/>
      <c r="D139" s="355"/>
      <c r="E139" s="355"/>
      <c r="F139" s="355"/>
      <c r="G139" s="355"/>
      <c r="H139" s="355"/>
      <c r="I139" s="355"/>
      <c r="J139" s="145">
        <v>297</v>
      </c>
      <c r="K139" s="148"/>
      <c r="L139" s="148"/>
    </row>
    <row r="140" spans="1:12" s="72" customFormat="1" ht="13.5" customHeight="1">
      <c r="A140" s="355" t="s">
        <v>1921</v>
      </c>
      <c r="B140" s="355"/>
      <c r="C140" s="355"/>
      <c r="D140" s="355"/>
      <c r="E140" s="355"/>
      <c r="F140" s="355"/>
      <c r="G140" s="355"/>
      <c r="H140" s="355"/>
      <c r="I140" s="355"/>
      <c r="J140" s="145">
        <v>298</v>
      </c>
      <c r="K140" s="148"/>
      <c r="L140" s="148"/>
    </row>
    <row r="141" spans="1:12" s="72" customFormat="1" ht="13.5" customHeight="1">
      <c r="A141" s="353" t="s">
        <v>1922</v>
      </c>
      <c r="B141" s="353"/>
      <c r="C141" s="353"/>
      <c r="D141" s="353"/>
      <c r="E141" s="353"/>
      <c r="F141" s="353"/>
      <c r="G141" s="353"/>
      <c r="H141" s="353"/>
      <c r="I141" s="353"/>
      <c r="J141" s="145">
        <v>299</v>
      </c>
      <c r="K141" s="147">
        <f>SUM(K136:K140)</f>
        <v>0</v>
      </c>
      <c r="L141" s="147">
        <f>SUM(L136:L140)</f>
        <v>0</v>
      </c>
    </row>
    <row r="142" spans="1:12" s="72" customFormat="1" ht="13.5" customHeight="1">
      <c r="A142" s="355" t="s">
        <v>1923</v>
      </c>
      <c r="B142" s="355"/>
      <c r="C142" s="355"/>
      <c r="D142" s="355"/>
      <c r="E142" s="355"/>
      <c r="F142" s="355"/>
      <c r="G142" s="355"/>
      <c r="H142" s="355"/>
      <c r="I142" s="355"/>
      <c r="J142" s="145">
        <v>300</v>
      </c>
      <c r="K142" s="148"/>
      <c r="L142" s="148"/>
    </row>
    <row r="143" spans="1:12" s="72" customFormat="1" ht="13.5" customHeight="1">
      <c r="A143" s="355" t="s">
        <v>1924</v>
      </c>
      <c r="B143" s="355"/>
      <c r="C143" s="355"/>
      <c r="D143" s="355"/>
      <c r="E143" s="355"/>
      <c r="F143" s="355"/>
      <c r="G143" s="355"/>
      <c r="H143" s="355"/>
      <c r="I143" s="355"/>
      <c r="J143" s="145">
        <v>301</v>
      </c>
      <c r="K143" s="148"/>
      <c r="L143" s="148"/>
    </row>
    <row r="144" spans="1:12" s="72" customFormat="1" ht="13.5" customHeight="1">
      <c r="A144" s="356" t="s">
        <v>1925</v>
      </c>
      <c r="B144" s="356"/>
      <c r="C144" s="356"/>
      <c r="D144" s="356"/>
      <c r="E144" s="356"/>
      <c r="F144" s="356"/>
      <c r="G144" s="356"/>
      <c r="H144" s="356"/>
      <c r="I144" s="356"/>
      <c r="J144" s="174">
        <v>302</v>
      </c>
      <c r="K144" s="161">
        <f>SUM(K142:K143)</f>
        <v>0</v>
      </c>
      <c r="L144" s="161">
        <f>SUM(L142:L143)</f>
        <v>0</v>
      </c>
    </row>
    <row r="145" ht="4.5" customHeight="1"/>
  </sheetData>
  <sheetProtection sheet="1" objects="1" scenarios="1"/>
  <mergeCells count="143">
    <mergeCell ref="A140:I140"/>
    <mergeCell ref="A141:I141"/>
    <mergeCell ref="A142:I142"/>
    <mergeCell ref="A143:I143"/>
    <mergeCell ref="A144:I144"/>
    <mergeCell ref="A134:I134"/>
    <mergeCell ref="A135:L135"/>
    <mergeCell ref="A136:I136"/>
    <mergeCell ref="A137:I137"/>
    <mergeCell ref="A138:I138"/>
    <mergeCell ref="A139:I139"/>
    <mergeCell ref="A128:I128"/>
    <mergeCell ref="A129:I129"/>
    <mergeCell ref="A130:I130"/>
    <mergeCell ref="A131:I131"/>
    <mergeCell ref="A132:I132"/>
    <mergeCell ref="A133:I133"/>
    <mergeCell ref="A122:I122"/>
    <mergeCell ref="A123:I123"/>
    <mergeCell ref="A124:I124"/>
    <mergeCell ref="A125:I125"/>
    <mergeCell ref="A126:I126"/>
    <mergeCell ref="A127:I127"/>
    <mergeCell ref="A116:I116"/>
    <mergeCell ref="A117:I117"/>
    <mergeCell ref="A118:I118"/>
    <mergeCell ref="A119:I119"/>
    <mergeCell ref="A120:I120"/>
    <mergeCell ref="A121:I121"/>
    <mergeCell ref="A110:I110"/>
    <mergeCell ref="A111:I111"/>
    <mergeCell ref="A112:I112"/>
    <mergeCell ref="A113:I113"/>
    <mergeCell ref="A114:I114"/>
    <mergeCell ref="A115:I115"/>
    <mergeCell ref="A104:I104"/>
    <mergeCell ref="A105:I105"/>
    <mergeCell ref="A106:I106"/>
    <mergeCell ref="A107:I107"/>
    <mergeCell ref="A108:I108"/>
    <mergeCell ref="A109:I109"/>
    <mergeCell ref="A98:I98"/>
    <mergeCell ref="A99:I99"/>
    <mergeCell ref="A100:I100"/>
    <mergeCell ref="A101:I101"/>
    <mergeCell ref="A102:I102"/>
    <mergeCell ref="A103:I103"/>
    <mergeCell ref="A92:I92"/>
    <mergeCell ref="A93:I93"/>
    <mergeCell ref="A94:I94"/>
    <mergeCell ref="A95:I95"/>
    <mergeCell ref="A96:I96"/>
    <mergeCell ref="A97:I97"/>
    <mergeCell ref="A86:I86"/>
    <mergeCell ref="A87:I87"/>
    <mergeCell ref="A88:I88"/>
    <mergeCell ref="A89:I89"/>
    <mergeCell ref="A90:I90"/>
    <mergeCell ref="A91:I91"/>
    <mergeCell ref="A80:L80"/>
    <mergeCell ref="A81:I81"/>
    <mergeCell ref="A82:I82"/>
    <mergeCell ref="A83:I83"/>
    <mergeCell ref="A84:I84"/>
    <mergeCell ref="A85:I85"/>
    <mergeCell ref="A74:I74"/>
    <mergeCell ref="A75:I75"/>
    <mergeCell ref="A76:I76"/>
    <mergeCell ref="A77:I77"/>
    <mergeCell ref="A78:I78"/>
    <mergeCell ref="A79:I79"/>
    <mergeCell ref="A68:I68"/>
    <mergeCell ref="A69:I69"/>
    <mergeCell ref="A70:I70"/>
    <mergeCell ref="A71:I71"/>
    <mergeCell ref="A72:I72"/>
    <mergeCell ref="A73:I73"/>
    <mergeCell ref="A62:I62"/>
    <mergeCell ref="A63:I63"/>
    <mergeCell ref="A64:I64"/>
    <mergeCell ref="A65:I65"/>
    <mergeCell ref="A66:L66"/>
    <mergeCell ref="A67:I67"/>
    <mergeCell ref="A56:I56"/>
    <mergeCell ref="A57:I57"/>
    <mergeCell ref="A58:I58"/>
    <mergeCell ref="A59:I59"/>
    <mergeCell ref="A60:I60"/>
    <mergeCell ref="A61:I61"/>
    <mergeCell ref="A50:I50"/>
    <mergeCell ref="A51:I51"/>
    <mergeCell ref="A52:I52"/>
    <mergeCell ref="A53:I53"/>
    <mergeCell ref="A54:I54"/>
    <mergeCell ref="A55:I55"/>
    <mergeCell ref="A44:I44"/>
    <mergeCell ref="A45:I45"/>
    <mergeCell ref="A46:I46"/>
    <mergeCell ref="A47:I47"/>
    <mergeCell ref="A48:I48"/>
    <mergeCell ref="A49:I49"/>
    <mergeCell ref="A38:I38"/>
    <mergeCell ref="A39:I39"/>
    <mergeCell ref="A40:I40"/>
    <mergeCell ref="A41:I41"/>
    <mergeCell ref="A42:I42"/>
    <mergeCell ref="A43:I43"/>
    <mergeCell ref="A32:I32"/>
    <mergeCell ref="A33:I33"/>
    <mergeCell ref="A34:I34"/>
    <mergeCell ref="A35:I35"/>
    <mergeCell ref="A36:I36"/>
    <mergeCell ref="A37:I37"/>
    <mergeCell ref="A26:I26"/>
    <mergeCell ref="A27:I27"/>
    <mergeCell ref="A28:I28"/>
    <mergeCell ref="A29:I29"/>
    <mergeCell ref="A30:I30"/>
    <mergeCell ref="A31:I31"/>
    <mergeCell ref="A20:I20"/>
    <mergeCell ref="A21:I21"/>
    <mergeCell ref="A22:I22"/>
    <mergeCell ref="A23:I23"/>
    <mergeCell ref="A24:I24"/>
    <mergeCell ref="A25:I25"/>
    <mergeCell ref="A14:I14"/>
    <mergeCell ref="A15:I15"/>
    <mergeCell ref="A16:I16"/>
    <mergeCell ref="A17:I17"/>
    <mergeCell ref="A18:I18"/>
    <mergeCell ref="A19:I19"/>
    <mergeCell ref="A8:I8"/>
    <mergeCell ref="A9:L9"/>
    <mergeCell ref="A10:I10"/>
    <mergeCell ref="A11:I11"/>
    <mergeCell ref="A12:I12"/>
    <mergeCell ref="A13:I13"/>
    <mergeCell ref="A1:B2"/>
    <mergeCell ref="A3:K3"/>
    <mergeCell ref="L3:L4"/>
    <mergeCell ref="A4:K4"/>
    <mergeCell ref="A6:L6"/>
    <mergeCell ref="A7:I7"/>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IF(OR(MIN(K9:L55)&lt;0,MAX(K9:L55)&gt;0),1,0)</f>
        <v>0</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IF(OR(MIN(K9:K55)&lt;0,MAX(K9:K55)&gt;0),1,0)</f>
        <v>0</v>
      </c>
      <c r="R2" s="72" t="s">
        <v>1605</v>
      </c>
    </row>
    <row r="3" spans="1:18" s="72" customFormat="1" ht="19.5" customHeight="1">
      <c r="A3" s="375" t="s">
        <v>1926</v>
      </c>
      <c r="B3" s="375"/>
      <c r="C3" s="375"/>
      <c r="D3" s="375"/>
      <c r="E3" s="375"/>
      <c r="F3" s="375"/>
      <c r="G3" s="375"/>
      <c r="H3" s="375"/>
      <c r="I3" s="375"/>
      <c r="J3" s="375"/>
      <c r="K3" s="375"/>
      <c r="L3" s="346" t="s">
        <v>1927</v>
      </c>
      <c r="Q3" s="134">
        <f>IF(OR(MIN(L9:L55)&lt;0,MAX(L9:L55)&gt;0),1,0)</f>
        <v>0</v>
      </c>
      <c r="R3" s="72" t="s">
        <v>1608</v>
      </c>
    </row>
    <row r="4" spans="1:12" s="72" customFormat="1" ht="19.5" customHeight="1">
      <c r="A4" s="376" t="str">
        <f>"u razdoblju "&amp;IF(Opci!E5&lt;&gt;"",TEXT(Opci!E5,"DD.MM.YYYY."),"__.__.____.")&amp;" do "&amp;IF(Opci!H5&lt;&gt;"",TEXT(Opci!H5,"DD.MM.YYYY."),"__.__.____.")</f>
        <v>u razdoblju 01.01.2014. do 31.12.2014.</v>
      </c>
      <c r="B4" s="376"/>
      <c r="C4" s="376"/>
      <c r="D4" s="376"/>
      <c r="E4" s="376"/>
      <c r="F4" s="376"/>
      <c r="G4" s="376"/>
      <c r="H4" s="376"/>
      <c r="I4" s="376"/>
      <c r="J4" s="376"/>
      <c r="K4" s="376"/>
      <c r="L4" s="346"/>
    </row>
    <row r="5" spans="1:11" s="72" customFormat="1" ht="4.5" customHeight="1">
      <c r="A5" s="176"/>
      <c r="B5" s="166"/>
      <c r="C5" s="166"/>
      <c r="D5" s="166"/>
      <c r="E5" s="166"/>
      <c r="F5" s="166"/>
      <c r="G5" s="166"/>
      <c r="H5" s="166"/>
      <c r="I5" s="166"/>
      <c r="J5" s="166"/>
      <c r="K5" s="167"/>
    </row>
    <row r="6" spans="1:12" s="72" customFormat="1" ht="19.5" customHeight="1">
      <c r="A6" s="377" t="str">
        <f>"Obveznik: "&amp;IF(Opci!C23&lt;&gt;"",Opci!C23,"________")&amp;"; "&amp;IF(Opci!C25&lt;&gt;"",Opci!C25,"_____________________________________________________________"&amp;"; "&amp;IF(Opci!F27&lt;&gt;"",Opci!F27,"_______________"))</f>
        <v>Obveznik: 26211106548; STAMBENO KOMUNALNO GOSPODARSTVO D.O.O.</v>
      </c>
      <c r="B6" s="377"/>
      <c r="C6" s="377"/>
      <c r="D6" s="377"/>
      <c r="E6" s="377"/>
      <c r="F6" s="377"/>
      <c r="G6" s="377"/>
      <c r="H6" s="377"/>
      <c r="I6" s="377"/>
      <c r="J6" s="377"/>
      <c r="K6" s="377"/>
      <c r="L6" s="377"/>
    </row>
    <row r="7" spans="1:12" s="72" customFormat="1" ht="24.75" customHeight="1">
      <c r="A7" s="371" t="s">
        <v>1610</v>
      </c>
      <c r="B7" s="371"/>
      <c r="C7" s="371"/>
      <c r="D7" s="371"/>
      <c r="E7" s="371"/>
      <c r="F7" s="371"/>
      <c r="G7" s="371"/>
      <c r="H7" s="371"/>
      <c r="I7" s="169" t="s">
        <v>1722</v>
      </c>
      <c r="J7" s="137" t="s">
        <v>1612</v>
      </c>
      <c r="K7" s="170" t="s">
        <v>1723</v>
      </c>
      <c r="L7" s="170" t="s">
        <v>1724</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1928</v>
      </c>
      <c r="B9" s="357"/>
      <c r="C9" s="357"/>
      <c r="D9" s="357"/>
      <c r="E9" s="357"/>
      <c r="F9" s="357"/>
      <c r="G9" s="357"/>
      <c r="H9" s="357"/>
      <c r="I9" s="357"/>
      <c r="J9" s="357"/>
      <c r="K9" s="357"/>
      <c r="L9" s="357"/>
    </row>
    <row r="10" spans="1:12" s="72" customFormat="1" ht="13.5" customHeight="1">
      <c r="A10" s="378" t="s">
        <v>1929</v>
      </c>
      <c r="B10" s="378"/>
      <c r="C10" s="378"/>
      <c r="D10" s="378"/>
      <c r="E10" s="378"/>
      <c r="F10" s="378"/>
      <c r="G10" s="378"/>
      <c r="H10" s="378"/>
      <c r="I10" s="145">
        <v>1</v>
      </c>
      <c r="J10" s="179"/>
      <c r="K10" s="180"/>
      <c r="L10" s="148"/>
    </row>
    <row r="11" spans="1:12" s="72" customFormat="1" ht="13.5" customHeight="1">
      <c r="A11" s="378" t="s">
        <v>1930</v>
      </c>
      <c r="B11" s="378"/>
      <c r="C11" s="378"/>
      <c r="D11" s="378"/>
      <c r="E11" s="378"/>
      <c r="F11" s="378"/>
      <c r="G11" s="378"/>
      <c r="H11" s="378"/>
      <c r="I11" s="145">
        <v>2</v>
      </c>
      <c r="J11" s="179"/>
      <c r="K11" s="180"/>
      <c r="L11" s="148"/>
    </row>
    <row r="12" spans="1:12" s="72" customFormat="1" ht="13.5" customHeight="1">
      <c r="A12" s="378" t="s">
        <v>1931</v>
      </c>
      <c r="B12" s="378"/>
      <c r="C12" s="378"/>
      <c r="D12" s="378"/>
      <c r="E12" s="378"/>
      <c r="F12" s="378"/>
      <c r="G12" s="378"/>
      <c r="H12" s="378"/>
      <c r="I12" s="145">
        <v>3</v>
      </c>
      <c r="J12" s="179"/>
      <c r="K12" s="180"/>
      <c r="L12" s="148"/>
    </row>
    <row r="13" spans="1:12" s="72" customFormat="1" ht="13.5" customHeight="1">
      <c r="A13" s="378" t="s">
        <v>1932</v>
      </c>
      <c r="B13" s="378"/>
      <c r="C13" s="378"/>
      <c r="D13" s="378"/>
      <c r="E13" s="378"/>
      <c r="F13" s="378"/>
      <c r="G13" s="378"/>
      <c r="H13" s="378"/>
      <c r="I13" s="145">
        <v>4</v>
      </c>
      <c r="J13" s="179"/>
      <c r="K13" s="180"/>
      <c r="L13" s="148"/>
    </row>
    <row r="14" spans="1:12" s="72" customFormat="1" ht="13.5" customHeight="1">
      <c r="A14" s="378" t="s">
        <v>1933</v>
      </c>
      <c r="B14" s="378"/>
      <c r="C14" s="378"/>
      <c r="D14" s="378"/>
      <c r="E14" s="378"/>
      <c r="F14" s="378"/>
      <c r="G14" s="378"/>
      <c r="H14" s="378"/>
      <c r="I14" s="145">
        <v>5</v>
      </c>
      <c r="J14" s="179"/>
      <c r="K14" s="180"/>
      <c r="L14" s="148"/>
    </row>
    <row r="15" spans="1:12" s="72" customFormat="1" ht="13.5" customHeight="1">
      <c r="A15" s="378" t="s">
        <v>1934</v>
      </c>
      <c r="B15" s="378"/>
      <c r="C15" s="378"/>
      <c r="D15" s="378"/>
      <c r="E15" s="378"/>
      <c r="F15" s="378"/>
      <c r="G15" s="378"/>
      <c r="H15" s="378"/>
      <c r="I15" s="145">
        <v>6</v>
      </c>
      <c r="J15" s="179"/>
      <c r="K15" s="180"/>
      <c r="L15" s="148"/>
    </row>
    <row r="16" spans="1:12" s="72" customFormat="1" ht="13.5" customHeight="1">
      <c r="A16" s="379" t="s">
        <v>1935</v>
      </c>
      <c r="B16" s="379"/>
      <c r="C16" s="379"/>
      <c r="D16" s="379"/>
      <c r="E16" s="379"/>
      <c r="F16" s="379"/>
      <c r="G16" s="379"/>
      <c r="H16" s="379"/>
      <c r="I16" s="145">
        <v>7</v>
      </c>
      <c r="J16" s="179"/>
      <c r="K16" s="181">
        <f>SUM(K10:K15)</f>
        <v>0</v>
      </c>
      <c r="L16" s="147">
        <f>SUM(L10:L15)</f>
        <v>0</v>
      </c>
    </row>
    <row r="17" spans="1:12" s="72" customFormat="1" ht="13.5" customHeight="1">
      <c r="A17" s="378" t="s">
        <v>1936</v>
      </c>
      <c r="B17" s="378"/>
      <c r="C17" s="378"/>
      <c r="D17" s="378"/>
      <c r="E17" s="378"/>
      <c r="F17" s="378"/>
      <c r="G17" s="378"/>
      <c r="H17" s="378"/>
      <c r="I17" s="145">
        <v>8</v>
      </c>
      <c r="J17" s="179"/>
      <c r="K17" s="180"/>
      <c r="L17" s="148"/>
    </row>
    <row r="18" spans="1:12" s="72" customFormat="1" ht="13.5" customHeight="1">
      <c r="A18" s="378" t="s">
        <v>1937</v>
      </c>
      <c r="B18" s="378"/>
      <c r="C18" s="378"/>
      <c r="D18" s="378"/>
      <c r="E18" s="378"/>
      <c r="F18" s="378"/>
      <c r="G18" s="378"/>
      <c r="H18" s="378"/>
      <c r="I18" s="145">
        <v>9</v>
      </c>
      <c r="J18" s="179"/>
      <c r="K18" s="180"/>
      <c r="L18" s="148"/>
    </row>
    <row r="19" spans="1:12" s="72" customFormat="1" ht="13.5" customHeight="1">
      <c r="A19" s="378" t="s">
        <v>1938</v>
      </c>
      <c r="B19" s="378"/>
      <c r="C19" s="378"/>
      <c r="D19" s="378"/>
      <c r="E19" s="378"/>
      <c r="F19" s="378"/>
      <c r="G19" s="378"/>
      <c r="H19" s="378"/>
      <c r="I19" s="145">
        <v>10</v>
      </c>
      <c r="J19" s="179"/>
      <c r="K19" s="180"/>
      <c r="L19" s="148"/>
    </row>
    <row r="20" spans="1:12" s="72" customFormat="1" ht="13.5" customHeight="1">
      <c r="A20" s="378" t="s">
        <v>1939</v>
      </c>
      <c r="B20" s="378"/>
      <c r="C20" s="378"/>
      <c r="D20" s="378"/>
      <c r="E20" s="378"/>
      <c r="F20" s="378"/>
      <c r="G20" s="378"/>
      <c r="H20" s="378"/>
      <c r="I20" s="145">
        <v>11</v>
      </c>
      <c r="J20" s="179"/>
      <c r="K20" s="180"/>
      <c r="L20" s="148"/>
    </row>
    <row r="21" spans="1:12" s="72" customFormat="1" ht="13.5" customHeight="1">
      <c r="A21" s="379" t="s">
        <v>1940</v>
      </c>
      <c r="B21" s="379"/>
      <c r="C21" s="379"/>
      <c r="D21" s="379"/>
      <c r="E21" s="379"/>
      <c r="F21" s="379"/>
      <c r="G21" s="379"/>
      <c r="H21" s="379"/>
      <c r="I21" s="145">
        <v>12</v>
      </c>
      <c r="J21" s="179"/>
      <c r="K21" s="181">
        <f>SUM(K17:K20)</f>
        <v>0</v>
      </c>
      <c r="L21" s="147">
        <f>SUM(L17:L20)</f>
        <v>0</v>
      </c>
    </row>
    <row r="22" spans="1:12" s="72" customFormat="1" ht="24.75" customHeight="1">
      <c r="A22" s="379" t="s">
        <v>1941</v>
      </c>
      <c r="B22" s="379"/>
      <c r="C22" s="379"/>
      <c r="D22" s="379"/>
      <c r="E22" s="379"/>
      <c r="F22" s="379"/>
      <c r="G22" s="379"/>
      <c r="H22" s="379"/>
      <c r="I22" s="145">
        <v>13</v>
      </c>
      <c r="J22" s="179"/>
      <c r="K22" s="181">
        <f>IF(K16&gt;K21,K16-K21,0)</f>
        <v>0</v>
      </c>
      <c r="L22" s="147">
        <f>IF(L16&gt;L21,L16-L21,0)</f>
        <v>0</v>
      </c>
    </row>
    <row r="23" spans="1:12" s="72" customFormat="1" ht="24.75" customHeight="1">
      <c r="A23" s="379" t="s">
        <v>1942</v>
      </c>
      <c r="B23" s="379"/>
      <c r="C23" s="379"/>
      <c r="D23" s="379"/>
      <c r="E23" s="379"/>
      <c r="F23" s="379"/>
      <c r="G23" s="379"/>
      <c r="H23" s="379"/>
      <c r="I23" s="145">
        <v>14</v>
      </c>
      <c r="J23" s="179"/>
      <c r="K23" s="181">
        <f>IF(K21&gt;K16,K21-K16,0)</f>
        <v>0</v>
      </c>
      <c r="L23" s="147">
        <f>IF(L21&gt;L16,L21-L16,0)</f>
        <v>0</v>
      </c>
    </row>
    <row r="24" spans="1:12" s="72" customFormat="1" ht="15" customHeight="1">
      <c r="A24" s="357" t="s">
        <v>1943</v>
      </c>
      <c r="B24" s="357"/>
      <c r="C24" s="357"/>
      <c r="D24" s="357"/>
      <c r="E24" s="357"/>
      <c r="F24" s="357"/>
      <c r="G24" s="357"/>
      <c r="H24" s="357"/>
      <c r="I24" s="357"/>
      <c r="J24" s="357"/>
      <c r="K24" s="357"/>
      <c r="L24" s="357"/>
    </row>
    <row r="25" spans="1:12" s="72" customFormat="1" ht="13.5" customHeight="1">
      <c r="A25" s="378" t="s">
        <v>1944</v>
      </c>
      <c r="B25" s="378"/>
      <c r="C25" s="378"/>
      <c r="D25" s="378"/>
      <c r="E25" s="378"/>
      <c r="F25" s="378"/>
      <c r="G25" s="378"/>
      <c r="H25" s="378"/>
      <c r="I25" s="145">
        <v>15</v>
      </c>
      <c r="J25" s="179"/>
      <c r="K25" s="180"/>
      <c r="L25" s="148"/>
    </row>
    <row r="26" spans="1:12" s="72" customFormat="1" ht="13.5" customHeight="1">
      <c r="A26" s="378" t="s">
        <v>1945</v>
      </c>
      <c r="B26" s="378"/>
      <c r="C26" s="378"/>
      <c r="D26" s="378"/>
      <c r="E26" s="378"/>
      <c r="F26" s="378"/>
      <c r="G26" s="378"/>
      <c r="H26" s="378"/>
      <c r="I26" s="145">
        <v>16</v>
      </c>
      <c r="J26" s="179"/>
      <c r="K26" s="180"/>
      <c r="L26" s="148"/>
    </row>
    <row r="27" spans="1:12" s="72" customFormat="1" ht="13.5" customHeight="1">
      <c r="A27" s="378" t="s">
        <v>1946</v>
      </c>
      <c r="B27" s="378"/>
      <c r="C27" s="378"/>
      <c r="D27" s="378"/>
      <c r="E27" s="378"/>
      <c r="F27" s="378"/>
      <c r="G27" s="378"/>
      <c r="H27" s="378"/>
      <c r="I27" s="145">
        <v>17</v>
      </c>
      <c r="J27" s="179"/>
      <c r="K27" s="180"/>
      <c r="L27" s="148"/>
    </row>
    <row r="28" spans="1:12" s="72" customFormat="1" ht="13.5" customHeight="1">
      <c r="A28" s="378" t="s">
        <v>1947</v>
      </c>
      <c r="B28" s="378"/>
      <c r="C28" s="378"/>
      <c r="D28" s="378"/>
      <c r="E28" s="378"/>
      <c r="F28" s="378"/>
      <c r="G28" s="378"/>
      <c r="H28" s="378"/>
      <c r="I28" s="145">
        <v>18</v>
      </c>
      <c r="J28" s="179"/>
      <c r="K28" s="180"/>
      <c r="L28" s="148"/>
    </row>
    <row r="29" spans="1:12" s="72" customFormat="1" ht="13.5" customHeight="1">
      <c r="A29" s="378" t="s">
        <v>1948</v>
      </c>
      <c r="B29" s="378"/>
      <c r="C29" s="378"/>
      <c r="D29" s="378"/>
      <c r="E29" s="378"/>
      <c r="F29" s="378"/>
      <c r="G29" s="378"/>
      <c r="H29" s="378"/>
      <c r="I29" s="145">
        <v>19</v>
      </c>
      <c r="J29" s="179"/>
      <c r="K29" s="180"/>
      <c r="L29" s="148"/>
    </row>
    <row r="30" spans="1:12" s="72" customFormat="1" ht="13.5" customHeight="1">
      <c r="A30" s="379" t="s">
        <v>1949</v>
      </c>
      <c r="B30" s="379"/>
      <c r="C30" s="379"/>
      <c r="D30" s="379"/>
      <c r="E30" s="379"/>
      <c r="F30" s="379"/>
      <c r="G30" s="379"/>
      <c r="H30" s="379"/>
      <c r="I30" s="145">
        <v>20</v>
      </c>
      <c r="J30" s="179"/>
      <c r="K30" s="181">
        <f>SUM(K25:K29)</f>
        <v>0</v>
      </c>
      <c r="L30" s="147">
        <f>SUM(L25:L29)</f>
        <v>0</v>
      </c>
    </row>
    <row r="31" spans="1:12" s="72" customFormat="1" ht="13.5" customHeight="1">
      <c r="A31" s="378" t="s">
        <v>1950</v>
      </c>
      <c r="B31" s="378"/>
      <c r="C31" s="378"/>
      <c r="D31" s="378"/>
      <c r="E31" s="378"/>
      <c r="F31" s="378"/>
      <c r="G31" s="378"/>
      <c r="H31" s="378"/>
      <c r="I31" s="145">
        <v>21</v>
      </c>
      <c r="J31" s="179"/>
      <c r="K31" s="180"/>
      <c r="L31" s="148"/>
    </row>
    <row r="32" spans="1:12" s="72" customFormat="1" ht="13.5" customHeight="1">
      <c r="A32" s="378" t="s">
        <v>1951</v>
      </c>
      <c r="B32" s="378"/>
      <c r="C32" s="378"/>
      <c r="D32" s="378"/>
      <c r="E32" s="378"/>
      <c r="F32" s="378"/>
      <c r="G32" s="378"/>
      <c r="H32" s="378"/>
      <c r="I32" s="145">
        <v>22</v>
      </c>
      <c r="J32" s="179"/>
      <c r="K32" s="180"/>
      <c r="L32" s="148"/>
    </row>
    <row r="33" spans="1:12" s="72" customFormat="1" ht="13.5" customHeight="1">
      <c r="A33" s="378" t="s">
        <v>1952</v>
      </c>
      <c r="B33" s="378"/>
      <c r="C33" s="378"/>
      <c r="D33" s="378"/>
      <c r="E33" s="378"/>
      <c r="F33" s="378"/>
      <c r="G33" s="378"/>
      <c r="H33" s="378"/>
      <c r="I33" s="145">
        <v>23</v>
      </c>
      <c r="J33" s="179"/>
      <c r="K33" s="180"/>
      <c r="L33" s="148"/>
    </row>
    <row r="34" spans="1:12" s="72" customFormat="1" ht="13.5" customHeight="1">
      <c r="A34" s="379" t="s">
        <v>1953</v>
      </c>
      <c r="B34" s="379"/>
      <c r="C34" s="379"/>
      <c r="D34" s="379"/>
      <c r="E34" s="379"/>
      <c r="F34" s="379"/>
      <c r="G34" s="379"/>
      <c r="H34" s="379"/>
      <c r="I34" s="145">
        <v>24</v>
      </c>
      <c r="J34" s="179"/>
      <c r="K34" s="181">
        <f>SUM(K31:K33)</f>
        <v>0</v>
      </c>
      <c r="L34" s="147">
        <f>SUM(L31:L33)</f>
        <v>0</v>
      </c>
    </row>
    <row r="35" spans="1:12" s="72" customFormat="1" ht="24.75" customHeight="1">
      <c r="A35" s="379" t="s">
        <v>1954</v>
      </c>
      <c r="B35" s="379"/>
      <c r="C35" s="379"/>
      <c r="D35" s="379"/>
      <c r="E35" s="379"/>
      <c r="F35" s="379"/>
      <c r="G35" s="379"/>
      <c r="H35" s="379"/>
      <c r="I35" s="145">
        <v>25</v>
      </c>
      <c r="J35" s="179"/>
      <c r="K35" s="181">
        <f>IF(K30&gt;K34,K30-K34,0)</f>
        <v>0</v>
      </c>
      <c r="L35" s="147">
        <f>IF(L30&gt;L34,L30-L34,0)</f>
        <v>0</v>
      </c>
    </row>
    <row r="36" spans="1:12" s="72" customFormat="1" ht="24.75" customHeight="1">
      <c r="A36" s="379" t="s">
        <v>1955</v>
      </c>
      <c r="B36" s="379"/>
      <c r="C36" s="379"/>
      <c r="D36" s="379"/>
      <c r="E36" s="379"/>
      <c r="F36" s="379"/>
      <c r="G36" s="379"/>
      <c r="H36" s="379"/>
      <c r="I36" s="145">
        <v>26</v>
      </c>
      <c r="J36" s="179"/>
      <c r="K36" s="181">
        <f>IF(K34&gt;K30,K34-K30,0)</f>
        <v>0</v>
      </c>
      <c r="L36" s="147">
        <f>IF(L34&gt;L30,L34-L30,0)</f>
        <v>0</v>
      </c>
    </row>
    <row r="37" spans="1:12" s="72" customFormat="1" ht="15" customHeight="1">
      <c r="A37" s="357" t="s">
        <v>1956</v>
      </c>
      <c r="B37" s="357"/>
      <c r="C37" s="357"/>
      <c r="D37" s="357"/>
      <c r="E37" s="357"/>
      <c r="F37" s="357"/>
      <c r="G37" s="357"/>
      <c r="H37" s="357"/>
      <c r="I37" s="357"/>
      <c r="J37" s="357"/>
      <c r="K37" s="357"/>
      <c r="L37" s="357"/>
    </row>
    <row r="38" spans="1:12" s="72" customFormat="1" ht="13.5" customHeight="1">
      <c r="A38" s="378" t="s">
        <v>1957</v>
      </c>
      <c r="B38" s="378"/>
      <c r="C38" s="378"/>
      <c r="D38" s="378"/>
      <c r="E38" s="378"/>
      <c r="F38" s="378"/>
      <c r="G38" s="378"/>
      <c r="H38" s="378"/>
      <c r="I38" s="145">
        <v>27</v>
      </c>
      <c r="J38" s="179"/>
      <c r="K38" s="180"/>
      <c r="L38" s="148"/>
    </row>
    <row r="39" spans="1:12" s="72" customFormat="1" ht="13.5" customHeight="1">
      <c r="A39" s="378" t="s">
        <v>1958</v>
      </c>
      <c r="B39" s="378"/>
      <c r="C39" s="378"/>
      <c r="D39" s="378"/>
      <c r="E39" s="378"/>
      <c r="F39" s="378"/>
      <c r="G39" s="378"/>
      <c r="H39" s="378"/>
      <c r="I39" s="145">
        <v>28</v>
      </c>
      <c r="J39" s="179"/>
      <c r="K39" s="180"/>
      <c r="L39" s="148"/>
    </row>
    <row r="40" spans="1:12" s="72" customFormat="1" ht="13.5" customHeight="1">
      <c r="A40" s="378" t="s">
        <v>1959</v>
      </c>
      <c r="B40" s="378"/>
      <c r="C40" s="378"/>
      <c r="D40" s="378"/>
      <c r="E40" s="378"/>
      <c r="F40" s="378"/>
      <c r="G40" s="378"/>
      <c r="H40" s="378"/>
      <c r="I40" s="145">
        <v>29</v>
      </c>
      <c r="J40" s="179"/>
      <c r="K40" s="180"/>
      <c r="L40" s="148"/>
    </row>
    <row r="41" spans="1:12" s="72" customFormat="1" ht="13.5" customHeight="1">
      <c r="A41" s="379" t="s">
        <v>1960</v>
      </c>
      <c r="B41" s="379"/>
      <c r="C41" s="379"/>
      <c r="D41" s="379"/>
      <c r="E41" s="379"/>
      <c r="F41" s="379"/>
      <c r="G41" s="379"/>
      <c r="H41" s="379"/>
      <c r="I41" s="145">
        <v>30</v>
      </c>
      <c r="J41" s="179"/>
      <c r="K41" s="181">
        <f>SUM(K38:K40)</f>
        <v>0</v>
      </c>
      <c r="L41" s="147">
        <f>SUM(L38:L40)</f>
        <v>0</v>
      </c>
    </row>
    <row r="42" spans="1:12" s="72" customFormat="1" ht="13.5" customHeight="1">
      <c r="A42" s="378" t="s">
        <v>1961</v>
      </c>
      <c r="B42" s="378"/>
      <c r="C42" s="378"/>
      <c r="D42" s="378"/>
      <c r="E42" s="378"/>
      <c r="F42" s="378"/>
      <c r="G42" s="378"/>
      <c r="H42" s="378"/>
      <c r="I42" s="145">
        <v>31</v>
      </c>
      <c r="J42" s="179"/>
      <c r="K42" s="180"/>
      <c r="L42" s="148"/>
    </row>
    <row r="43" spans="1:12" s="72" customFormat="1" ht="13.5" customHeight="1">
      <c r="A43" s="378" t="s">
        <v>1962</v>
      </c>
      <c r="B43" s="378"/>
      <c r="C43" s="378"/>
      <c r="D43" s="378"/>
      <c r="E43" s="378"/>
      <c r="F43" s="378"/>
      <c r="G43" s="378"/>
      <c r="H43" s="378"/>
      <c r="I43" s="145">
        <v>32</v>
      </c>
      <c r="J43" s="179"/>
      <c r="K43" s="180"/>
      <c r="L43" s="148"/>
    </row>
    <row r="44" spans="1:12" s="72" customFormat="1" ht="13.5" customHeight="1">
      <c r="A44" s="378" t="s">
        <v>1963</v>
      </c>
      <c r="B44" s="378"/>
      <c r="C44" s="378"/>
      <c r="D44" s="378"/>
      <c r="E44" s="378"/>
      <c r="F44" s="378"/>
      <c r="G44" s="378"/>
      <c r="H44" s="378"/>
      <c r="I44" s="145">
        <v>33</v>
      </c>
      <c r="J44" s="179"/>
      <c r="K44" s="180"/>
      <c r="L44" s="148"/>
    </row>
    <row r="45" spans="1:12" s="72" customFormat="1" ht="13.5" customHeight="1">
      <c r="A45" s="378" t="s">
        <v>1964</v>
      </c>
      <c r="B45" s="378"/>
      <c r="C45" s="378"/>
      <c r="D45" s="378"/>
      <c r="E45" s="378"/>
      <c r="F45" s="378"/>
      <c r="G45" s="378"/>
      <c r="H45" s="378"/>
      <c r="I45" s="145">
        <v>34</v>
      </c>
      <c r="J45" s="179"/>
      <c r="K45" s="180"/>
      <c r="L45" s="148"/>
    </row>
    <row r="46" spans="1:12" s="72" customFormat="1" ht="13.5" customHeight="1">
      <c r="A46" s="378" t="s">
        <v>1965</v>
      </c>
      <c r="B46" s="378"/>
      <c r="C46" s="378"/>
      <c r="D46" s="378"/>
      <c r="E46" s="378"/>
      <c r="F46" s="378"/>
      <c r="G46" s="378"/>
      <c r="H46" s="378"/>
      <c r="I46" s="145">
        <v>35</v>
      </c>
      <c r="J46" s="179"/>
      <c r="K46" s="180"/>
      <c r="L46" s="148"/>
    </row>
    <row r="47" spans="1:12" s="72" customFormat="1" ht="13.5" customHeight="1">
      <c r="A47" s="379" t="s">
        <v>1966</v>
      </c>
      <c r="B47" s="379"/>
      <c r="C47" s="379"/>
      <c r="D47" s="379"/>
      <c r="E47" s="379"/>
      <c r="F47" s="379"/>
      <c r="G47" s="379"/>
      <c r="H47" s="379"/>
      <c r="I47" s="145">
        <v>36</v>
      </c>
      <c r="J47" s="179"/>
      <c r="K47" s="181">
        <f>SUM(K42:K46)</f>
        <v>0</v>
      </c>
      <c r="L47" s="147">
        <f>SUM(L42:L46)</f>
        <v>0</v>
      </c>
    </row>
    <row r="48" spans="1:12" s="72" customFormat="1" ht="24.75" customHeight="1">
      <c r="A48" s="379" t="s">
        <v>1967</v>
      </c>
      <c r="B48" s="379"/>
      <c r="C48" s="379"/>
      <c r="D48" s="379"/>
      <c r="E48" s="379"/>
      <c r="F48" s="379"/>
      <c r="G48" s="379"/>
      <c r="H48" s="379"/>
      <c r="I48" s="145">
        <v>37</v>
      </c>
      <c r="J48" s="179"/>
      <c r="K48" s="181">
        <f>IF(K41&gt;K47,K41-K47,0)</f>
        <v>0</v>
      </c>
      <c r="L48" s="147">
        <f>IF(L41&gt;L47,L41-L47,0)</f>
        <v>0</v>
      </c>
    </row>
    <row r="49" spans="1:12" s="72" customFormat="1" ht="24.75" customHeight="1">
      <c r="A49" s="379" t="s">
        <v>1968</v>
      </c>
      <c r="B49" s="379"/>
      <c r="C49" s="379"/>
      <c r="D49" s="379"/>
      <c r="E49" s="379"/>
      <c r="F49" s="379"/>
      <c r="G49" s="379"/>
      <c r="H49" s="379"/>
      <c r="I49" s="145">
        <v>38</v>
      </c>
      <c r="J49" s="179"/>
      <c r="K49" s="181">
        <f>IF(K47&gt;K41,K47-K41,0)</f>
        <v>0</v>
      </c>
      <c r="L49" s="147">
        <f>IF(L47&gt;L41,L47-L41,0)</f>
        <v>0</v>
      </c>
    </row>
    <row r="50" spans="1:12" s="72" customFormat="1" ht="13.5" customHeight="1">
      <c r="A50" s="378" t="s">
        <v>1969</v>
      </c>
      <c r="B50" s="378"/>
      <c r="C50" s="378"/>
      <c r="D50" s="378"/>
      <c r="E50" s="378"/>
      <c r="F50" s="378"/>
      <c r="G50" s="378"/>
      <c r="H50" s="378"/>
      <c r="I50" s="145">
        <v>39</v>
      </c>
      <c r="J50" s="179"/>
      <c r="K50" s="181">
        <f>IF(K22-K23+K35-K36+K48-K49&gt;0,K22-K23+K35-K36+K48-K49,0)</f>
        <v>0</v>
      </c>
      <c r="L50" s="147">
        <f>IF(L22-L23+L35-L36+L48-L49&gt;0,L22-L23+L35-L36+L48-L49,0)</f>
        <v>0</v>
      </c>
    </row>
    <row r="51" spans="1:12" s="72" customFormat="1" ht="13.5" customHeight="1">
      <c r="A51" s="378" t="s">
        <v>1970</v>
      </c>
      <c r="B51" s="378"/>
      <c r="C51" s="378"/>
      <c r="D51" s="378"/>
      <c r="E51" s="378"/>
      <c r="F51" s="378"/>
      <c r="G51" s="378"/>
      <c r="H51" s="378"/>
      <c r="I51" s="145">
        <v>40</v>
      </c>
      <c r="J51" s="179"/>
      <c r="K51" s="181">
        <f>IF(K23-K22+K36-K35+K49-K48&gt;0,K23-K22+K36-K35+K49-K48,0)</f>
        <v>0</v>
      </c>
      <c r="L51" s="147">
        <f>IF(L23-L22+L36-L35+L49-L48&gt;0,L23-L22+L36-L35+L49-L48,0)</f>
        <v>0</v>
      </c>
    </row>
    <row r="52" spans="1:12" s="72" customFormat="1" ht="13.5" customHeight="1">
      <c r="A52" s="378" t="s">
        <v>1971</v>
      </c>
      <c r="B52" s="378"/>
      <c r="C52" s="378"/>
      <c r="D52" s="378"/>
      <c r="E52" s="378"/>
      <c r="F52" s="378"/>
      <c r="G52" s="378"/>
      <c r="H52" s="378"/>
      <c r="I52" s="145">
        <v>41</v>
      </c>
      <c r="J52" s="179"/>
      <c r="K52" s="180"/>
      <c r="L52" s="148"/>
    </row>
    <row r="53" spans="1:12" s="72" customFormat="1" ht="13.5" customHeight="1">
      <c r="A53" s="378" t="s">
        <v>1972</v>
      </c>
      <c r="B53" s="378"/>
      <c r="C53" s="378"/>
      <c r="D53" s="378"/>
      <c r="E53" s="378"/>
      <c r="F53" s="378"/>
      <c r="G53" s="378"/>
      <c r="H53" s="378"/>
      <c r="I53" s="145">
        <v>42</v>
      </c>
      <c r="J53" s="179"/>
      <c r="K53" s="180"/>
      <c r="L53" s="148"/>
    </row>
    <row r="54" spans="1:12" s="72" customFormat="1" ht="13.5" customHeight="1">
      <c r="A54" s="378" t="s">
        <v>1973</v>
      </c>
      <c r="B54" s="378"/>
      <c r="C54" s="378"/>
      <c r="D54" s="378"/>
      <c r="E54" s="378"/>
      <c r="F54" s="378"/>
      <c r="G54" s="378"/>
      <c r="H54" s="378"/>
      <c r="I54" s="145">
        <v>43</v>
      </c>
      <c r="J54" s="179"/>
      <c r="K54" s="180"/>
      <c r="L54" s="148"/>
    </row>
    <row r="55" spans="1:12" s="72" customFormat="1" ht="13.5" customHeight="1">
      <c r="A55" s="380" t="s">
        <v>1974</v>
      </c>
      <c r="B55" s="380"/>
      <c r="C55" s="380"/>
      <c r="D55" s="380"/>
      <c r="E55" s="380"/>
      <c r="F55" s="380"/>
      <c r="G55" s="380"/>
      <c r="H55" s="380"/>
      <c r="I55" s="174">
        <v>44</v>
      </c>
      <c r="J55" s="182"/>
      <c r="K55" s="183">
        <f>K52+K53-K54</f>
        <v>0</v>
      </c>
      <c r="L55" s="161">
        <f>L52+L53-L54</f>
        <v>0</v>
      </c>
    </row>
    <row r="56" ht="4.5" customHeight="1"/>
  </sheetData>
  <sheetProtection sheet="1" objects="1" scenarios="1"/>
  <mergeCells count="54">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L37"/>
    <mergeCell ref="A26:H26"/>
    <mergeCell ref="A27:H27"/>
    <mergeCell ref="A28:H28"/>
    <mergeCell ref="A29:H29"/>
    <mergeCell ref="A30:H30"/>
    <mergeCell ref="A31:H31"/>
    <mergeCell ref="A20:H20"/>
    <mergeCell ref="A21:H21"/>
    <mergeCell ref="A22:H22"/>
    <mergeCell ref="A23:H23"/>
    <mergeCell ref="A24:L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72">
        <f>IF(OR(MIN(K9:L56)&lt;0,MAX(K9:L56)&gt;0),1,0)</f>
        <v>0</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IF(OR(MIN(K9:K56)&lt;0,MAX(K9:K56)&gt;0),1,0)</f>
        <v>0</v>
      </c>
      <c r="R2" s="72" t="s">
        <v>1605</v>
      </c>
    </row>
    <row r="3" spans="1:18" s="72" customFormat="1" ht="19.5" customHeight="1">
      <c r="A3" s="369" t="s">
        <v>1975</v>
      </c>
      <c r="B3" s="369"/>
      <c r="C3" s="369"/>
      <c r="D3" s="369"/>
      <c r="E3" s="369"/>
      <c r="F3" s="369"/>
      <c r="G3" s="369"/>
      <c r="H3" s="369"/>
      <c r="I3" s="369"/>
      <c r="J3" s="369"/>
      <c r="K3" s="369"/>
      <c r="L3" s="346" t="s">
        <v>1976</v>
      </c>
      <c r="Q3" s="134">
        <f>IF(OR(MIN(L9:L56)&lt;0,MAX(L9:L56)&gt;0),1,0)</f>
        <v>0</v>
      </c>
      <c r="R3" s="72" t="s">
        <v>1608</v>
      </c>
    </row>
    <row r="4" spans="1:12" s="72" customFormat="1" ht="19.5" customHeight="1">
      <c r="A4" s="370" t="str">
        <f>"u razdoblju "&amp;IF(Opci!E5&lt;&gt;"",TEXT(Opci!E5,"DD.MM.YYYY."),"__.__.____.")&amp;" do "&amp;IF(Opci!H5&lt;&gt;"",TEXT(Opci!H5,"DD.MM.YYYY."),"__.__.____.")</f>
        <v>u razdoblju 01.01.2014. do 31.12.2014.</v>
      </c>
      <c r="B4" s="370"/>
      <c r="C4" s="370"/>
      <c r="D4" s="370"/>
      <c r="E4" s="370"/>
      <c r="F4" s="370"/>
      <c r="G4" s="370"/>
      <c r="H4" s="370"/>
      <c r="I4" s="370"/>
      <c r="J4" s="370"/>
      <c r="K4" s="370"/>
      <c r="L4" s="346"/>
    </row>
    <row r="5" spans="1:11" s="72" customFormat="1" ht="4.5" customHeight="1">
      <c r="A5" s="175"/>
      <c r="B5" s="184"/>
      <c r="C5" s="184"/>
      <c r="D5" s="184"/>
      <c r="E5" s="184"/>
      <c r="F5" s="184"/>
      <c r="G5" s="184"/>
      <c r="H5" s="184"/>
      <c r="I5" s="184"/>
      <c r="J5" s="184"/>
      <c r="K5" s="185"/>
    </row>
    <row r="6" spans="1:12" s="72" customFormat="1" ht="19.5" customHeight="1">
      <c r="A6" s="377" t="str">
        <f>"Obveznik: "&amp;IF(Opci!C23&lt;&gt;"",Opci!C23,"________")&amp;"; "&amp;IF(Opci!C25&lt;&gt;"",Opci!C25,"_____________________________________________________________"&amp;"; "&amp;IF(Opci!F27&lt;&gt;"",Opci!F27,"_______________"))</f>
        <v>Obveznik: 26211106548; STAMBENO KOMUNALNO GOSPODARSTVO D.O.O.</v>
      </c>
      <c r="B6" s="377"/>
      <c r="C6" s="377"/>
      <c r="D6" s="377"/>
      <c r="E6" s="377"/>
      <c r="F6" s="377"/>
      <c r="G6" s="377"/>
      <c r="H6" s="377"/>
      <c r="I6" s="377"/>
      <c r="J6" s="377"/>
      <c r="K6" s="377"/>
      <c r="L6" s="377"/>
    </row>
    <row r="7" spans="1:12" s="72" customFormat="1" ht="24.75" customHeight="1">
      <c r="A7" s="371" t="s">
        <v>1610</v>
      </c>
      <c r="B7" s="371"/>
      <c r="C7" s="371"/>
      <c r="D7" s="371"/>
      <c r="E7" s="371"/>
      <c r="F7" s="371"/>
      <c r="G7" s="371"/>
      <c r="H7" s="371"/>
      <c r="I7" s="169" t="s">
        <v>1722</v>
      </c>
      <c r="J7" s="137" t="s">
        <v>1612</v>
      </c>
      <c r="K7" s="170" t="s">
        <v>1723</v>
      </c>
      <c r="L7" s="170" t="s">
        <v>1724</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1928</v>
      </c>
      <c r="B9" s="357"/>
      <c r="C9" s="357"/>
      <c r="D9" s="357"/>
      <c r="E9" s="357"/>
      <c r="F9" s="357"/>
      <c r="G9" s="357"/>
      <c r="H9" s="357"/>
      <c r="I9" s="357"/>
      <c r="J9" s="357"/>
      <c r="K9" s="357"/>
      <c r="L9" s="357"/>
    </row>
    <row r="10" spans="1:12" s="72" customFormat="1" ht="13.5" customHeight="1">
      <c r="A10" s="378" t="s">
        <v>1977</v>
      </c>
      <c r="B10" s="378"/>
      <c r="C10" s="378"/>
      <c r="D10" s="378"/>
      <c r="E10" s="378"/>
      <c r="F10" s="378"/>
      <c r="G10" s="378"/>
      <c r="H10" s="378"/>
      <c r="I10" s="145">
        <v>1</v>
      </c>
      <c r="J10" s="179"/>
      <c r="K10" s="180"/>
      <c r="L10" s="148"/>
    </row>
    <row r="11" spans="1:12" s="72" customFormat="1" ht="13.5" customHeight="1">
      <c r="A11" s="378" t="s">
        <v>1978</v>
      </c>
      <c r="B11" s="378"/>
      <c r="C11" s="378"/>
      <c r="D11" s="378"/>
      <c r="E11" s="378"/>
      <c r="F11" s="378"/>
      <c r="G11" s="378"/>
      <c r="H11" s="378"/>
      <c r="I11" s="145">
        <v>2</v>
      </c>
      <c r="J11" s="179"/>
      <c r="K11" s="180"/>
      <c r="L11" s="148"/>
    </row>
    <row r="12" spans="1:12" s="72" customFormat="1" ht="13.5" customHeight="1">
      <c r="A12" s="378" t="s">
        <v>1979</v>
      </c>
      <c r="B12" s="378"/>
      <c r="C12" s="378"/>
      <c r="D12" s="378"/>
      <c r="E12" s="378"/>
      <c r="F12" s="378"/>
      <c r="G12" s="378"/>
      <c r="H12" s="378"/>
      <c r="I12" s="145">
        <v>3</v>
      </c>
      <c r="J12" s="179"/>
      <c r="K12" s="180"/>
      <c r="L12" s="148"/>
    </row>
    <row r="13" spans="1:12" s="72" customFormat="1" ht="13.5" customHeight="1">
      <c r="A13" s="378" t="s">
        <v>1980</v>
      </c>
      <c r="B13" s="378"/>
      <c r="C13" s="378"/>
      <c r="D13" s="378"/>
      <c r="E13" s="378"/>
      <c r="F13" s="378"/>
      <c r="G13" s="378"/>
      <c r="H13" s="378"/>
      <c r="I13" s="145">
        <v>4</v>
      </c>
      <c r="J13" s="179"/>
      <c r="K13" s="180"/>
      <c r="L13" s="148"/>
    </row>
    <row r="14" spans="1:12" s="72" customFormat="1" ht="13.5" customHeight="1">
      <c r="A14" s="378" t="s">
        <v>1981</v>
      </c>
      <c r="B14" s="378"/>
      <c r="C14" s="378"/>
      <c r="D14" s="378"/>
      <c r="E14" s="378"/>
      <c r="F14" s="378"/>
      <c r="G14" s="378"/>
      <c r="H14" s="378"/>
      <c r="I14" s="145">
        <v>5</v>
      </c>
      <c r="J14" s="179"/>
      <c r="K14" s="180"/>
      <c r="L14" s="148"/>
    </row>
    <row r="15" spans="1:12" s="72" customFormat="1" ht="13.5" customHeight="1">
      <c r="A15" s="379" t="s">
        <v>1982</v>
      </c>
      <c r="B15" s="379"/>
      <c r="C15" s="379"/>
      <c r="D15" s="379"/>
      <c r="E15" s="379"/>
      <c r="F15" s="379"/>
      <c r="G15" s="379"/>
      <c r="H15" s="379"/>
      <c r="I15" s="145">
        <v>6</v>
      </c>
      <c r="J15" s="179"/>
      <c r="K15" s="181">
        <f>SUM(K10:K14)</f>
        <v>0</v>
      </c>
      <c r="L15" s="147">
        <f>SUM(L10:L14)</f>
        <v>0</v>
      </c>
    </row>
    <row r="16" spans="1:12" s="72" customFormat="1" ht="13.5" customHeight="1">
      <c r="A16" s="378" t="s">
        <v>1983</v>
      </c>
      <c r="B16" s="378"/>
      <c r="C16" s="378"/>
      <c r="D16" s="378"/>
      <c r="E16" s="378"/>
      <c r="F16" s="378"/>
      <c r="G16" s="378"/>
      <c r="H16" s="378"/>
      <c r="I16" s="145">
        <v>7</v>
      </c>
      <c r="J16" s="179"/>
      <c r="K16" s="180"/>
      <c r="L16" s="148"/>
    </row>
    <row r="17" spans="1:12" s="72" customFormat="1" ht="13.5" customHeight="1">
      <c r="A17" s="378" t="s">
        <v>1984</v>
      </c>
      <c r="B17" s="378"/>
      <c r="C17" s="378"/>
      <c r="D17" s="378"/>
      <c r="E17" s="378"/>
      <c r="F17" s="378"/>
      <c r="G17" s="378"/>
      <c r="H17" s="378"/>
      <c r="I17" s="145">
        <v>8</v>
      </c>
      <c r="J17" s="179"/>
      <c r="K17" s="180"/>
      <c r="L17" s="148"/>
    </row>
    <row r="18" spans="1:12" s="72" customFormat="1" ht="13.5" customHeight="1">
      <c r="A18" s="378" t="s">
        <v>1985</v>
      </c>
      <c r="B18" s="378"/>
      <c r="C18" s="378"/>
      <c r="D18" s="378"/>
      <c r="E18" s="378"/>
      <c r="F18" s="378"/>
      <c r="G18" s="378"/>
      <c r="H18" s="378"/>
      <c r="I18" s="145">
        <v>9</v>
      </c>
      <c r="J18" s="179"/>
      <c r="K18" s="180"/>
      <c r="L18" s="148"/>
    </row>
    <row r="19" spans="1:12" s="72" customFormat="1" ht="13.5" customHeight="1">
      <c r="A19" s="378" t="s">
        <v>1986</v>
      </c>
      <c r="B19" s="378"/>
      <c r="C19" s="378"/>
      <c r="D19" s="378"/>
      <c r="E19" s="378"/>
      <c r="F19" s="378"/>
      <c r="G19" s="378"/>
      <c r="H19" s="378"/>
      <c r="I19" s="145">
        <v>10</v>
      </c>
      <c r="J19" s="179"/>
      <c r="K19" s="180"/>
      <c r="L19" s="148"/>
    </row>
    <row r="20" spans="1:12" s="72" customFormat="1" ht="13.5" customHeight="1">
      <c r="A20" s="378" t="s">
        <v>1987</v>
      </c>
      <c r="B20" s="378"/>
      <c r="C20" s="378"/>
      <c r="D20" s="378"/>
      <c r="E20" s="378"/>
      <c r="F20" s="378"/>
      <c r="G20" s="378"/>
      <c r="H20" s="378"/>
      <c r="I20" s="145">
        <v>11</v>
      </c>
      <c r="J20" s="179"/>
      <c r="K20" s="180"/>
      <c r="L20" s="148"/>
    </row>
    <row r="21" spans="1:12" s="72" customFormat="1" ht="13.5" customHeight="1">
      <c r="A21" s="378" t="s">
        <v>1988</v>
      </c>
      <c r="B21" s="378"/>
      <c r="C21" s="378"/>
      <c r="D21" s="378"/>
      <c r="E21" s="378"/>
      <c r="F21" s="378"/>
      <c r="G21" s="378"/>
      <c r="H21" s="378"/>
      <c r="I21" s="145">
        <v>12</v>
      </c>
      <c r="J21" s="179"/>
      <c r="K21" s="180"/>
      <c r="L21" s="148"/>
    </row>
    <row r="22" spans="1:12" s="72" customFormat="1" ht="13.5" customHeight="1">
      <c r="A22" s="379" t="s">
        <v>1989</v>
      </c>
      <c r="B22" s="379"/>
      <c r="C22" s="379"/>
      <c r="D22" s="379"/>
      <c r="E22" s="379"/>
      <c r="F22" s="379"/>
      <c r="G22" s="379"/>
      <c r="H22" s="379"/>
      <c r="I22" s="145">
        <v>13</v>
      </c>
      <c r="J22" s="179"/>
      <c r="K22" s="181">
        <f>SUM(K16:K21)</f>
        <v>0</v>
      </c>
      <c r="L22" s="147">
        <f>SUM(L16:L21)</f>
        <v>0</v>
      </c>
    </row>
    <row r="23" spans="1:12" s="72" customFormat="1" ht="24.75" customHeight="1">
      <c r="A23" s="353" t="s">
        <v>1990</v>
      </c>
      <c r="B23" s="353"/>
      <c r="C23" s="353"/>
      <c r="D23" s="353"/>
      <c r="E23" s="353"/>
      <c r="F23" s="353"/>
      <c r="G23" s="353"/>
      <c r="H23" s="353"/>
      <c r="I23" s="145">
        <v>14</v>
      </c>
      <c r="J23" s="179"/>
      <c r="K23" s="181">
        <f>IF(K15&gt;K22,K15-K22,0)</f>
        <v>0</v>
      </c>
      <c r="L23" s="147">
        <f>IF(L15&gt;L22,L15-L22,0)</f>
        <v>0</v>
      </c>
    </row>
    <row r="24" spans="1:12" s="72" customFormat="1" ht="24.75" customHeight="1">
      <c r="A24" s="356" t="s">
        <v>1991</v>
      </c>
      <c r="B24" s="356"/>
      <c r="C24" s="356"/>
      <c r="D24" s="356"/>
      <c r="E24" s="356"/>
      <c r="F24" s="356"/>
      <c r="G24" s="356"/>
      <c r="H24" s="356"/>
      <c r="I24" s="145">
        <v>15</v>
      </c>
      <c r="J24" s="179"/>
      <c r="K24" s="181">
        <f>IF(K22&gt;K15,K22-K15,0)</f>
        <v>0</v>
      </c>
      <c r="L24" s="147">
        <f>IF(L22&gt;L15,L22-L15,0)</f>
        <v>0</v>
      </c>
    </row>
    <row r="25" spans="1:12" s="72" customFormat="1" ht="13.5" customHeight="1">
      <c r="A25" s="357" t="s">
        <v>1943</v>
      </c>
      <c r="B25" s="357"/>
      <c r="C25" s="357"/>
      <c r="D25" s="357"/>
      <c r="E25" s="357"/>
      <c r="F25" s="357"/>
      <c r="G25" s="357"/>
      <c r="H25" s="357"/>
      <c r="I25" s="357"/>
      <c r="J25" s="357"/>
      <c r="K25" s="357"/>
      <c r="L25" s="357"/>
    </row>
    <row r="26" spans="1:12" s="72" customFormat="1" ht="13.5" customHeight="1">
      <c r="A26" s="378" t="s">
        <v>1992</v>
      </c>
      <c r="B26" s="378"/>
      <c r="C26" s="378"/>
      <c r="D26" s="378"/>
      <c r="E26" s="378"/>
      <c r="F26" s="378"/>
      <c r="G26" s="378"/>
      <c r="H26" s="378"/>
      <c r="I26" s="145">
        <v>16</v>
      </c>
      <c r="J26" s="179"/>
      <c r="K26" s="180"/>
      <c r="L26" s="148"/>
    </row>
    <row r="27" spans="1:12" s="72" customFormat="1" ht="13.5" customHeight="1">
      <c r="A27" s="378" t="s">
        <v>1993</v>
      </c>
      <c r="B27" s="378"/>
      <c r="C27" s="378"/>
      <c r="D27" s="378"/>
      <c r="E27" s="378"/>
      <c r="F27" s="378"/>
      <c r="G27" s="378"/>
      <c r="H27" s="378"/>
      <c r="I27" s="145">
        <v>17</v>
      </c>
      <c r="J27" s="179"/>
      <c r="K27" s="180"/>
      <c r="L27" s="148"/>
    </row>
    <row r="28" spans="1:12" s="72" customFormat="1" ht="13.5" customHeight="1">
      <c r="A28" s="381" t="s">
        <v>1994</v>
      </c>
      <c r="B28" s="381"/>
      <c r="C28" s="381"/>
      <c r="D28" s="381"/>
      <c r="E28" s="381"/>
      <c r="F28" s="381"/>
      <c r="G28" s="381"/>
      <c r="H28" s="381"/>
      <c r="I28" s="145">
        <v>18</v>
      </c>
      <c r="J28" s="179"/>
      <c r="K28" s="180"/>
      <c r="L28" s="148"/>
    </row>
    <row r="29" spans="1:12" s="72" customFormat="1" ht="13.5" customHeight="1">
      <c r="A29" s="381" t="s">
        <v>1995</v>
      </c>
      <c r="B29" s="381"/>
      <c r="C29" s="381"/>
      <c r="D29" s="381"/>
      <c r="E29" s="381"/>
      <c r="F29" s="381"/>
      <c r="G29" s="381"/>
      <c r="H29" s="381"/>
      <c r="I29" s="145">
        <v>19</v>
      </c>
      <c r="J29" s="179"/>
      <c r="K29" s="180"/>
      <c r="L29" s="148"/>
    </row>
    <row r="30" spans="1:12" s="72" customFormat="1" ht="13.5" customHeight="1">
      <c r="A30" s="378" t="s">
        <v>1996</v>
      </c>
      <c r="B30" s="378"/>
      <c r="C30" s="378"/>
      <c r="D30" s="378"/>
      <c r="E30" s="378"/>
      <c r="F30" s="378"/>
      <c r="G30" s="378"/>
      <c r="H30" s="378"/>
      <c r="I30" s="145">
        <v>20</v>
      </c>
      <c r="J30" s="179"/>
      <c r="K30" s="180"/>
      <c r="L30" s="148"/>
    </row>
    <row r="31" spans="1:12" s="72" customFormat="1" ht="13.5" customHeight="1">
      <c r="A31" s="379" t="s">
        <v>1997</v>
      </c>
      <c r="B31" s="379"/>
      <c r="C31" s="379"/>
      <c r="D31" s="379"/>
      <c r="E31" s="379"/>
      <c r="F31" s="379"/>
      <c r="G31" s="379"/>
      <c r="H31" s="379"/>
      <c r="I31" s="145">
        <v>21</v>
      </c>
      <c r="J31" s="179"/>
      <c r="K31" s="181">
        <f>SUM(K26:K30)</f>
        <v>0</v>
      </c>
      <c r="L31" s="147">
        <f>SUM(L26:L30)</f>
        <v>0</v>
      </c>
    </row>
    <row r="32" spans="1:12" s="72" customFormat="1" ht="13.5" customHeight="1">
      <c r="A32" s="378" t="s">
        <v>1998</v>
      </c>
      <c r="B32" s="378"/>
      <c r="C32" s="378"/>
      <c r="D32" s="378"/>
      <c r="E32" s="378"/>
      <c r="F32" s="378"/>
      <c r="G32" s="378"/>
      <c r="H32" s="378"/>
      <c r="I32" s="145">
        <v>22</v>
      </c>
      <c r="J32" s="179"/>
      <c r="K32" s="180"/>
      <c r="L32" s="148"/>
    </row>
    <row r="33" spans="1:12" s="72" customFormat="1" ht="13.5" customHeight="1">
      <c r="A33" s="378" t="s">
        <v>1999</v>
      </c>
      <c r="B33" s="378"/>
      <c r="C33" s="378"/>
      <c r="D33" s="378"/>
      <c r="E33" s="378"/>
      <c r="F33" s="378"/>
      <c r="G33" s="378"/>
      <c r="H33" s="378"/>
      <c r="I33" s="145">
        <v>23</v>
      </c>
      <c r="J33" s="179"/>
      <c r="K33" s="180"/>
      <c r="L33" s="148"/>
    </row>
    <row r="34" spans="1:12" s="72" customFormat="1" ht="13.5" customHeight="1">
      <c r="A34" s="378" t="s">
        <v>2000</v>
      </c>
      <c r="B34" s="378"/>
      <c r="C34" s="378"/>
      <c r="D34" s="378"/>
      <c r="E34" s="378"/>
      <c r="F34" s="378"/>
      <c r="G34" s="378"/>
      <c r="H34" s="378"/>
      <c r="I34" s="145">
        <v>24</v>
      </c>
      <c r="J34" s="179"/>
      <c r="K34" s="180"/>
      <c r="L34" s="148"/>
    </row>
    <row r="35" spans="1:12" s="72" customFormat="1" ht="13.5" customHeight="1">
      <c r="A35" s="379" t="s">
        <v>2001</v>
      </c>
      <c r="B35" s="379"/>
      <c r="C35" s="379"/>
      <c r="D35" s="379"/>
      <c r="E35" s="379"/>
      <c r="F35" s="379"/>
      <c r="G35" s="379"/>
      <c r="H35" s="379"/>
      <c r="I35" s="145">
        <v>25</v>
      </c>
      <c r="J35" s="179"/>
      <c r="K35" s="181">
        <f>SUM(K32:K34)</f>
        <v>0</v>
      </c>
      <c r="L35" s="147">
        <f>SUM(L32:L34)</f>
        <v>0</v>
      </c>
    </row>
    <row r="36" spans="1:12" s="72" customFormat="1" ht="24.75" customHeight="1">
      <c r="A36" s="379" t="s">
        <v>2002</v>
      </c>
      <c r="B36" s="379"/>
      <c r="C36" s="379"/>
      <c r="D36" s="379"/>
      <c r="E36" s="379"/>
      <c r="F36" s="379"/>
      <c r="G36" s="379"/>
      <c r="H36" s="379"/>
      <c r="I36" s="145">
        <v>26</v>
      </c>
      <c r="J36" s="179"/>
      <c r="K36" s="181">
        <f>IF(K31&gt;K35,K31-K35,0)</f>
        <v>0</v>
      </c>
      <c r="L36" s="147">
        <f>IF(L31&gt;L35,L31-L35,0)</f>
        <v>0</v>
      </c>
    </row>
    <row r="37" spans="1:12" s="72" customFormat="1" ht="24.75" customHeight="1">
      <c r="A37" s="379" t="s">
        <v>2003</v>
      </c>
      <c r="B37" s="379"/>
      <c r="C37" s="379"/>
      <c r="D37" s="379"/>
      <c r="E37" s="379"/>
      <c r="F37" s="379"/>
      <c r="G37" s="379"/>
      <c r="H37" s="379"/>
      <c r="I37" s="145">
        <v>27</v>
      </c>
      <c r="J37" s="179"/>
      <c r="K37" s="181">
        <f>IF(K35&gt;K31,K35-K31,0)</f>
        <v>0</v>
      </c>
      <c r="L37" s="147">
        <f>IF(L35&gt;L31,L35-L31,0)</f>
        <v>0</v>
      </c>
    </row>
    <row r="38" spans="1:12" s="72" customFormat="1" ht="13.5" customHeight="1">
      <c r="A38" s="357" t="s">
        <v>1956</v>
      </c>
      <c r="B38" s="357"/>
      <c r="C38" s="357"/>
      <c r="D38" s="357"/>
      <c r="E38" s="357"/>
      <c r="F38" s="357"/>
      <c r="G38" s="357"/>
      <c r="H38" s="357"/>
      <c r="I38" s="357">
        <v>0</v>
      </c>
      <c r="J38" s="357"/>
      <c r="K38" s="357"/>
      <c r="L38" s="357"/>
    </row>
    <row r="39" spans="1:12" s="72" customFormat="1" ht="13.5" customHeight="1">
      <c r="A39" s="378" t="s">
        <v>1957</v>
      </c>
      <c r="B39" s="378"/>
      <c r="C39" s="378"/>
      <c r="D39" s="378"/>
      <c r="E39" s="378"/>
      <c r="F39" s="378"/>
      <c r="G39" s="378"/>
      <c r="H39" s="378"/>
      <c r="I39" s="145">
        <v>28</v>
      </c>
      <c r="J39" s="179"/>
      <c r="K39" s="180"/>
      <c r="L39" s="148"/>
    </row>
    <row r="40" spans="1:12" s="72" customFormat="1" ht="13.5" customHeight="1">
      <c r="A40" s="378" t="s">
        <v>1958</v>
      </c>
      <c r="B40" s="378"/>
      <c r="C40" s="378"/>
      <c r="D40" s="378"/>
      <c r="E40" s="378"/>
      <c r="F40" s="378"/>
      <c r="G40" s="378"/>
      <c r="H40" s="378"/>
      <c r="I40" s="145">
        <v>29</v>
      </c>
      <c r="J40" s="179"/>
      <c r="K40" s="180"/>
      <c r="L40" s="148"/>
    </row>
    <row r="41" spans="1:12" s="72" customFormat="1" ht="13.5" customHeight="1">
      <c r="A41" s="378" t="s">
        <v>1959</v>
      </c>
      <c r="B41" s="378"/>
      <c r="C41" s="378"/>
      <c r="D41" s="378"/>
      <c r="E41" s="378"/>
      <c r="F41" s="378"/>
      <c r="G41" s="378"/>
      <c r="H41" s="378"/>
      <c r="I41" s="145">
        <v>30</v>
      </c>
      <c r="J41" s="179"/>
      <c r="K41" s="180"/>
      <c r="L41" s="148"/>
    </row>
    <row r="42" spans="1:12" s="72" customFormat="1" ht="13.5" customHeight="1">
      <c r="A42" s="379" t="s">
        <v>2004</v>
      </c>
      <c r="B42" s="379"/>
      <c r="C42" s="379"/>
      <c r="D42" s="379"/>
      <c r="E42" s="379"/>
      <c r="F42" s="379"/>
      <c r="G42" s="379"/>
      <c r="H42" s="379"/>
      <c r="I42" s="145">
        <v>31</v>
      </c>
      <c r="J42" s="179"/>
      <c r="K42" s="181">
        <f>SUM(K39:K41)</f>
        <v>0</v>
      </c>
      <c r="L42" s="147">
        <f>SUM(L39:L41)</f>
        <v>0</v>
      </c>
    </row>
    <row r="43" spans="1:12" s="72" customFormat="1" ht="13.5" customHeight="1">
      <c r="A43" s="378" t="s">
        <v>1961</v>
      </c>
      <c r="B43" s="378"/>
      <c r="C43" s="378"/>
      <c r="D43" s="378"/>
      <c r="E43" s="378"/>
      <c r="F43" s="378"/>
      <c r="G43" s="378"/>
      <c r="H43" s="378"/>
      <c r="I43" s="145">
        <v>32</v>
      </c>
      <c r="J43" s="179"/>
      <c r="K43" s="180"/>
      <c r="L43" s="148"/>
    </row>
    <row r="44" spans="1:12" s="72" customFormat="1" ht="13.5" customHeight="1">
      <c r="A44" s="378" t="s">
        <v>1962</v>
      </c>
      <c r="B44" s="378"/>
      <c r="C44" s="378"/>
      <c r="D44" s="378"/>
      <c r="E44" s="378"/>
      <c r="F44" s="378"/>
      <c r="G44" s="378"/>
      <c r="H44" s="378"/>
      <c r="I44" s="145">
        <v>33</v>
      </c>
      <c r="J44" s="179"/>
      <c r="K44" s="180"/>
      <c r="L44" s="148"/>
    </row>
    <row r="45" spans="1:12" s="72" customFormat="1" ht="13.5" customHeight="1">
      <c r="A45" s="378" t="s">
        <v>1963</v>
      </c>
      <c r="B45" s="378"/>
      <c r="C45" s="378"/>
      <c r="D45" s="378"/>
      <c r="E45" s="378"/>
      <c r="F45" s="378"/>
      <c r="G45" s="378"/>
      <c r="H45" s="378"/>
      <c r="I45" s="145">
        <v>34</v>
      </c>
      <c r="J45" s="179"/>
      <c r="K45" s="180"/>
      <c r="L45" s="148"/>
    </row>
    <row r="46" spans="1:12" s="72" customFormat="1" ht="13.5" customHeight="1">
      <c r="A46" s="378" t="s">
        <v>1964</v>
      </c>
      <c r="B46" s="378"/>
      <c r="C46" s="378"/>
      <c r="D46" s="378"/>
      <c r="E46" s="378"/>
      <c r="F46" s="378"/>
      <c r="G46" s="378"/>
      <c r="H46" s="378"/>
      <c r="I46" s="145">
        <v>35</v>
      </c>
      <c r="J46" s="179"/>
      <c r="K46" s="180"/>
      <c r="L46" s="148"/>
    </row>
    <row r="47" spans="1:12" s="72" customFormat="1" ht="13.5" customHeight="1">
      <c r="A47" s="378" t="s">
        <v>1965</v>
      </c>
      <c r="B47" s="378"/>
      <c r="C47" s="378"/>
      <c r="D47" s="378"/>
      <c r="E47" s="378"/>
      <c r="F47" s="378"/>
      <c r="G47" s="378"/>
      <c r="H47" s="378"/>
      <c r="I47" s="145">
        <v>36</v>
      </c>
      <c r="J47" s="179"/>
      <c r="K47" s="180"/>
      <c r="L47" s="148"/>
    </row>
    <row r="48" spans="1:12" s="72" customFormat="1" ht="13.5" customHeight="1">
      <c r="A48" s="379" t="s">
        <v>2005</v>
      </c>
      <c r="B48" s="379"/>
      <c r="C48" s="379"/>
      <c r="D48" s="379"/>
      <c r="E48" s="379"/>
      <c r="F48" s="379"/>
      <c r="G48" s="379"/>
      <c r="H48" s="379"/>
      <c r="I48" s="145">
        <v>37</v>
      </c>
      <c r="J48" s="179"/>
      <c r="K48" s="181">
        <f>SUM(K43:K47)</f>
        <v>0</v>
      </c>
      <c r="L48" s="147">
        <f>SUM(L43:L47)</f>
        <v>0</v>
      </c>
    </row>
    <row r="49" spans="1:12" s="72" customFormat="1" ht="24.75" customHeight="1">
      <c r="A49" s="379" t="s">
        <v>2006</v>
      </c>
      <c r="B49" s="379"/>
      <c r="C49" s="379"/>
      <c r="D49" s="379"/>
      <c r="E49" s="379"/>
      <c r="F49" s="379"/>
      <c r="G49" s="379"/>
      <c r="H49" s="379"/>
      <c r="I49" s="145">
        <v>38</v>
      </c>
      <c r="J49" s="179"/>
      <c r="K49" s="181">
        <f>IF(K42&gt;K48,K42-K48,0)</f>
        <v>0</v>
      </c>
      <c r="L49" s="147">
        <f>IF(L42&gt;L48,L42-L48,0)</f>
        <v>0</v>
      </c>
    </row>
    <row r="50" spans="1:12" s="72" customFormat="1" ht="24.75" customHeight="1">
      <c r="A50" s="379" t="s">
        <v>2007</v>
      </c>
      <c r="B50" s="379"/>
      <c r="C50" s="379"/>
      <c r="D50" s="379"/>
      <c r="E50" s="379"/>
      <c r="F50" s="379"/>
      <c r="G50" s="379"/>
      <c r="H50" s="379"/>
      <c r="I50" s="145">
        <v>39</v>
      </c>
      <c r="J50" s="179"/>
      <c r="K50" s="181">
        <f>IF(K48&gt;K42,K48-K42,0)</f>
        <v>0</v>
      </c>
      <c r="L50" s="147">
        <f>IF(L48&gt;L42,L48-L42,0)</f>
        <v>0</v>
      </c>
    </row>
    <row r="51" spans="1:12" s="72" customFormat="1" ht="13.5" customHeight="1">
      <c r="A51" s="379" t="s">
        <v>2008</v>
      </c>
      <c r="B51" s="379"/>
      <c r="C51" s="379"/>
      <c r="D51" s="379"/>
      <c r="E51" s="379"/>
      <c r="F51" s="379"/>
      <c r="G51" s="379"/>
      <c r="H51" s="379"/>
      <c r="I51" s="145">
        <v>40</v>
      </c>
      <c r="J51" s="179"/>
      <c r="K51" s="181">
        <f>IF(K23-K24+K36-K37+K49-K50&gt;0,K23-K24+K36-K37+K49-K50,0)</f>
        <v>0</v>
      </c>
      <c r="L51" s="147">
        <f>IF(L23-L24+L36-L37+L49-L50&gt;0,L23-L24+L36-L37+L49-L50,0)</f>
        <v>0</v>
      </c>
    </row>
    <row r="52" spans="1:12" s="72" customFormat="1" ht="13.5" customHeight="1">
      <c r="A52" s="379" t="s">
        <v>2009</v>
      </c>
      <c r="B52" s="379"/>
      <c r="C52" s="379"/>
      <c r="D52" s="379"/>
      <c r="E52" s="379"/>
      <c r="F52" s="379"/>
      <c r="G52" s="379"/>
      <c r="H52" s="379"/>
      <c r="I52" s="145">
        <v>41</v>
      </c>
      <c r="J52" s="179"/>
      <c r="K52" s="181">
        <f>IF(K24-K23+K37-K36+K50-K49&gt;0,K24-K23+K37-K36+K50-K49,0)</f>
        <v>0</v>
      </c>
      <c r="L52" s="147">
        <f>IF(L24-L23+L37-L36+L50-L49&gt;0,L24-L23+L37-L36+L50-L49,0)</f>
        <v>0</v>
      </c>
    </row>
    <row r="53" spans="1:12" s="72" customFormat="1" ht="13.5" customHeight="1">
      <c r="A53" s="379" t="s">
        <v>1971</v>
      </c>
      <c r="B53" s="379"/>
      <c r="C53" s="379"/>
      <c r="D53" s="379"/>
      <c r="E53" s="379"/>
      <c r="F53" s="379"/>
      <c r="G53" s="379"/>
      <c r="H53" s="379"/>
      <c r="I53" s="145">
        <v>42</v>
      </c>
      <c r="J53" s="179"/>
      <c r="K53" s="180"/>
      <c r="L53" s="148"/>
    </row>
    <row r="54" spans="1:12" s="72" customFormat="1" ht="13.5" customHeight="1">
      <c r="A54" s="379" t="s">
        <v>1972</v>
      </c>
      <c r="B54" s="379"/>
      <c r="C54" s="379"/>
      <c r="D54" s="379"/>
      <c r="E54" s="379"/>
      <c r="F54" s="379"/>
      <c r="G54" s="379"/>
      <c r="H54" s="379"/>
      <c r="I54" s="145">
        <v>43</v>
      </c>
      <c r="J54" s="179"/>
      <c r="K54" s="180"/>
      <c r="L54" s="148"/>
    </row>
    <row r="55" spans="1:12" s="72" customFormat="1" ht="13.5" customHeight="1">
      <c r="A55" s="379" t="s">
        <v>1973</v>
      </c>
      <c r="B55" s="379"/>
      <c r="C55" s="379"/>
      <c r="D55" s="379"/>
      <c r="E55" s="379"/>
      <c r="F55" s="379"/>
      <c r="G55" s="379"/>
      <c r="H55" s="379"/>
      <c r="I55" s="145">
        <v>44</v>
      </c>
      <c r="J55" s="179"/>
      <c r="K55" s="180"/>
      <c r="L55" s="148"/>
    </row>
    <row r="56" spans="1:12" s="72" customFormat="1" ht="13.5" customHeight="1">
      <c r="A56" s="382" t="s">
        <v>1974</v>
      </c>
      <c r="B56" s="382"/>
      <c r="C56" s="382"/>
      <c r="D56" s="382"/>
      <c r="E56" s="382"/>
      <c r="F56" s="382"/>
      <c r="G56" s="382"/>
      <c r="H56" s="382"/>
      <c r="I56" s="174">
        <v>45</v>
      </c>
      <c r="J56" s="182"/>
      <c r="K56" s="183">
        <f>K53+K54-K55</f>
        <v>0</v>
      </c>
      <c r="L56" s="161">
        <f>L53+L54-L55</f>
        <v>0</v>
      </c>
    </row>
    <row r="57" ht="12.75" customHeight="1">
      <c r="A57" s="186" t="s">
        <v>2010</v>
      </c>
    </row>
    <row r="58" ht="4.5" customHeight="1"/>
  </sheetData>
  <sheetProtection sheet="1" objects="1" scenarios="1"/>
  <mergeCells count="55">
    <mergeCell ref="A56:H56"/>
    <mergeCell ref="A50:H50"/>
    <mergeCell ref="A51:H51"/>
    <mergeCell ref="A52:H52"/>
    <mergeCell ref="A53:H53"/>
    <mergeCell ref="A54:H54"/>
    <mergeCell ref="A55:H55"/>
    <mergeCell ref="A44:H44"/>
    <mergeCell ref="A45:H45"/>
    <mergeCell ref="A46:H46"/>
    <mergeCell ref="A47:H47"/>
    <mergeCell ref="A48:H48"/>
    <mergeCell ref="A49:H49"/>
    <mergeCell ref="A38:L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L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SKG - VESNA</dc:creator>
  <cp:keywords/>
  <dc:description/>
  <cp:lastModifiedBy>SKG - VESNA</cp:lastModifiedBy>
  <cp:lastPrinted>2016-01-11T12:33:56Z</cp:lastPrinted>
  <dcterms:created xsi:type="dcterms:W3CDTF">2016-01-19T10:11:54Z</dcterms:created>
  <dcterms:modified xsi:type="dcterms:W3CDTF">2016-01-19T10:11:58Z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