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<sst xmlns="http://schemas.openxmlformats.org/spreadsheetml/2006/main" count="3662" uniqueCount="2966">
  <si>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</si>
  <si>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</si>
  <si>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</si>
  <si>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</si>
  <si>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</si>
  <si>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</si>
  <si>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</si>
  <si>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</si>
  <si>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</si>
  <si>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</si>
  <si>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</si>
  <si>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</si>
  <si>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</si>
  <si>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</si>
  <si>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</si>
  <si>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</si>
  <si>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</si>
  <si>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</si>
  <si>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</si>
  <si>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</si>
  <si>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</si>
  <si>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</si>
  <si>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</si>
  <si>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</si>
  <si>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</si>
  <si>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</si>
  <si>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</si>
  <si>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</si>
  <si>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</si>
  <si>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</si>
  <si>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</si>
  <si>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</si>
  <si>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</si>
  <si>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</si>
  <si>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</si>
  <si>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</si>
  <si>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</si>
  <si>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</si>
  <si>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</si>
  <si>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</si>
  <si>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</si>
  <si>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</si>
  <si>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</si>
  <si>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</si>
  <si>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</si>
  <si>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</si>
  <si>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</si>
  <si>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</si>
  <si>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</si>
  <si>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</si>
  <si>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</si>
  <si>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</si>
  <si>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</si>
  <si>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</si>
  <si>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</si>
  <si>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</si>
  <si>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</si>
  <si>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</si>
  <si>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</si>
  <si>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</si>
  <si>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</si>
  <si>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</si>
  <si>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</si>
  <si>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</si>
  <si>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</si>
  <si>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</si>
  <si>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</si>
  <si>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</si>
  <si>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</si>
  <si>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</si>
  <si>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</si>
  <si>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</si>
  <si>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</si>
  <si>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</si>
  <si>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</si>
  <si>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</si>
  <si>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</si>
  <si>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</si>
  <si>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</si>
  <si>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</si>
  <si>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</si>
  <si>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</si>
  <si>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</si>
  <si>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</si>
  <si>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</si>
  <si>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</si>
  <si>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</si>
  <si>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</si>
  <si>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</si>
  <si>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</si>
  <si>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</si>
  <si>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</si>
  <si>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</si>
  <si>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</si>
  <si>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</si>
  <si>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</si>
  <si>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</si>
  <si>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</si>
  <si>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</si>
  <si>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</si>
  <si>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</si>
  <si>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</si>
  <si>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</si>
  <si>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</si>
  <si>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</si>
  <si>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</si>
  <si>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</si>
  <si>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</si>
  <si>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</si>
  <si>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</si>
  <si>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</si>
  <si>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</si>
  <si>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</si>
  <si>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</si>
  <si>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</si>
  <si>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</si>
  <si>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</si>
  <si>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</si>
  <si>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</si>
  <si>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</si>
  <si>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</si>
  <si>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</si>
  <si>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</si>
  <si>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</si>
  <si>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</si>
  <si>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</si>
  <si>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</si>
  <si>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</si>
  <si>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</si>
  <si>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</si>
  <si>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</si>
  <si>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</si>
  <si>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</si>
  <si>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</si>
  <si>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</si>
  <si>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</si>
  <si>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</si>
  <si>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</si>
  <si>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</si>
  <si>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</si>
  <si>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</si>
  <si>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</si>
  <si>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</si>
  <si>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</si>
  <si>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</si>
  <si>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</si>
  <si>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</si>
  <si>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</si>
  <si>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</si>
  <si>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</si>
  <si>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</si>
  <si>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</si>
  <si>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</si>
  <si>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</si>
  <si>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</si>
  <si>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</si>
  <si>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</si>
  <si>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</si>
  <si>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</si>
  <si>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</si>
  <si>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</si>
  <si>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</si>
  <si>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</si>
  <si>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</si>
  <si>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</si>
  <si>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</si>
  <si>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</si>
  <si>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</si>
  <si>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</si>
  <si>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</si>
  <si>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</si>
  <si>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</si>
  <si>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</si>
  <si>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</si>
  <si>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</si>
  <si>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</si>
  <si>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</si>
  <si>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</si>
  <si>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</si>
  <si>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</si>
  <si>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</si>
  <si>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</si>
  <si>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</si>
  <si>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</si>
  <si>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</si>
  <si>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</si>
  <si>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</si>
  <si>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</si>
  <si>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</si>
  <si>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</si>
  <si>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</si>
  <si>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</si>
  <si>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</si>
  <si>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</si>
  <si>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</si>
  <si>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</si>
  <si>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</si>
  <si>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</si>
  <si>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</si>
  <si>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</si>
  <si>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</si>
  <si>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</si>
  <si>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</si>
  <si>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</si>
  <si>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</si>
  <si>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</si>
  <si>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</si>
  <si>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</si>
  <si>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</si>
  <si>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</si>
  <si>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</si>
  <si>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</si>
  <si>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</si>
  <si>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</si>
  <si>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</si>
  <si>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</si>
  <si>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</si>
  <si>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</si>
  <si>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</si>
  <si>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</si>
  <si>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</si>
  <si>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</si>
  <si>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</si>
  <si>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</si>
  <si>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</si>
  <si>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</si>
  <si>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</si>
  <si>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</si>
  <si>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</si>
  <si>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</si>
  <si>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</si>
  <si>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</si>
  <si>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</si>
  <si>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</si>
  <si>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</si>
  <si>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</si>
  <si>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</si>
  <si>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</si>
  <si>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</si>
  <si>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</si>
  <si>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</si>
  <si>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</si>
  <si>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</si>
  <si>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</si>
  <si>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</si>
  <si>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</si>
  <si>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</si>
  <si>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</si>
  <si>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</si>
  <si>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</si>
  <si>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</si>
  <si>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</si>
  <si>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</si>
  <si>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</si>
  <si>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</si>
  <si>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</si>
  <si>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</si>
  <si>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</si>
  <si>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</si>
  <si>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</si>
  <si>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</si>
  <si>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</si>
  <si>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</si>
  <si>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</si>
  <si>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</si>
  <si>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</si>
  <si>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</si>
  <si>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</si>
  <si>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</si>
  <si>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</si>
  <si>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</si>
  <si>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</si>
  <si>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</si>
  <si>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</si>
  <si>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</si>
  <si>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</si>
  <si>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</si>
  <si>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</si>
  <si>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</si>
  <si>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</si>
  <si>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</si>
  <si>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</si>
  <si>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</si>
  <si>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</si>
  <si>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</si>
  <si>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</si>
  <si>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</si>
  <si>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</si>
  <si>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</si>
  <si>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</si>
  <si>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</si>
  <si>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</si>
  <si>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</si>
  <si>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</si>
  <si>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</si>
  <si>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</si>
  <si>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</si>
  <si>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</si>
  <si>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</si>
  <si>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</si>
  <si>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</si>
  <si>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</si>
  <si>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</si>
  <si>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</si>
  <si>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</si>
  <si>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</si>
  <si>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</si>
  <si>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</si>
  <si>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</si>
  <si>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</si>
  <si>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</si>
  <si>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</si>
  <si>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</si>
  <si>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</si>
  <si>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</si>
  <si>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</si>
  <si>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</si>
  <si>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</si>
  <si>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</si>
  <si>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</si>
  <si>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</si>
  <si>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</si>
  <si>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</si>
  <si>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</si>
  <si>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</si>
  <si>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</si>
  <si>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</si>
  <si>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</si>
  <si>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</si>
  <si>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</si>
  <si>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</si>
  <si>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</si>
  <si>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</si>
  <si>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</si>
  <si>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</si>
  <si>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</si>
  <si>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</si>
  <si>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</si>
  <si>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</si>
  <si>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</si>
  <si>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</si>
  <si>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</si>
  <si>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</si>
  <si>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</si>
  <si>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</si>
  <si>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</si>
  <si>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</si>
  <si>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</si>
  <si>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</si>
  <si>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</si>
  <si>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</si>
  <si>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</si>
  <si>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</si>
  <si>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</si>
  <si>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</si>
  <si>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</si>
  <si>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</si>
  <si>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</si>
  <si>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</si>
  <si>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</si>
  <si>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</si>
  <si>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</si>
  <si>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</si>
  <si>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</si>
  <si>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</si>
  <si>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</si>
  <si>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</si>
  <si>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</si>
  <si>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</si>
  <si>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</si>
  <si>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</si>
  <si>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</si>
  <si>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</si>
  <si>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</si>
  <si>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</si>
  <si>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</si>
  <si>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</si>
  <si>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</si>
  <si>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</si>
  <si>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</si>
  <si>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</si>
  <si>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</si>
  <si>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</si>
  <si>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</si>
  <si>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</si>
  <si>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</si>
  <si>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</si>
  <si>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</si>
  <si>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</si>
  <si>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</si>
  <si>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</si>
  <si>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</si>
  <si>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</si>
  <si>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</si>
  <si>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</si>
  <si>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</si>
  <si>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</si>
  <si>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</si>
  <si>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</si>
  <si>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</si>
  <si>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</si>
  <si>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</si>
  <si>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</si>
  <si>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</si>
  <si>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</si>
  <si>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</si>
  <si>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</si>
  <si>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</si>
  <si>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</si>
  <si>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</si>
  <si>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</si>
  <si>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</si>
  <si>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</si>
  <si>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</si>
  <si>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</si>
  <si>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</si>
  <si>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</si>
  <si>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</si>
  <si>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</si>
  <si>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</si>
  <si>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</si>
  <si>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</si>
  <si>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</si>
  <si>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</si>
  <si>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</si>
  <si>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</si>
  <si>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</si>
  <si>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</si>
  <si>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</si>
  <si>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</si>
  <si>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</si>
  <si>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</si>
  <si>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</si>
  <si>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</si>
  <si>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</si>
  <si>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</si>
  <si>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</si>
  <si>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</si>
  <si>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</si>
  <si>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</si>
  <si>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</si>
  <si>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</si>
  <si>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</si>
  <si>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</si>
  <si>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</si>
  <si>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</si>
  <si>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</si>
  <si>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</si>
  <si>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</si>
  <si>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</si>
  <si>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</si>
  <si>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</si>
  <si>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</si>
  <si>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</si>
  <si>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</si>
  <si>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</si>
  <si>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</si>
  <si>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</si>
  <si>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</si>
  <si>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</si>
  <si>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</si>
  <si>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</si>
  <si>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</si>
  <si>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</si>
  <si>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</si>
  <si>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</si>
  <si>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</si>
  <si>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</si>
  <si>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</si>
  <si>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</si>
  <si>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</si>
  <si>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</si>
  <si>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</si>
  <si>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</si>
  <si>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</si>
  <si>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</si>
  <si>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</si>
  <si>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</si>
  <si>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</si>
  <si>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</si>
  <si>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</si>
  <si>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</si>
  <si>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</si>
  <si>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</si>
  <si>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</si>
  <si>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</si>
  <si>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</si>
  <si>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</si>
  <si>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</si>
  <si>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</si>
  <si>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</si>
  <si>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</si>
  <si>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</si>
  <si>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</si>
  <si>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</si>
  <si>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</si>
  <si>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</si>
  <si>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</si>
  <si>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</si>
  <si>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</si>
  <si>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</si>
  <si>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</si>
  <si>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</si>
  <si>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</si>
  <si>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</si>
  <si>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</si>
  <si>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</si>
  <si>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</si>
  <si>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</si>
  <si>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</si>
  <si>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</si>
  <si>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</si>
  <si>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</si>
  <si>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</si>
  <si>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</si>
  <si>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</si>
  <si>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</si>
  <si>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</si>
  <si>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</si>
  <si>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</si>
  <si>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</si>
  <si>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</si>
  <si>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</si>
  <si>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</si>
  <si>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</si>
  <si>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</si>
  <si>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</si>
  <si>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</si>
  <si>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</si>
  <si>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</si>
  <si>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</si>
  <si>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</si>
  <si>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</si>
  <si>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</si>
  <si>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</si>
  <si>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</si>
  <si>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</si>
  <si>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</si>
  <si>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</si>
  <si>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</si>
  <si>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</si>
  <si>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</si>
  <si>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</si>
  <si>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</si>
  <si>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</si>
  <si>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</si>
  <si>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</si>
  <si>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</si>
  <si>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</si>
  <si>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</si>
  <si>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</si>
  <si>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</si>
  <si>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</si>
  <si>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</si>
  <si>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</si>
  <si>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</si>
  <si>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</si>
  <si>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</si>
  <si>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</si>
  <si>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</si>
  <si>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</si>
  <si>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</si>
  <si>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</si>
  <si>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</si>
  <si>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</si>
  <si>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</si>
  <si>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</si>
  <si>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</si>
  <si>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</si>
  <si>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</si>
  <si>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</si>
  <si>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</si>
  <si>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</si>
  <si>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</si>
  <si>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</si>
  <si>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</si>
  <si>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</si>
  <si>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</si>
  <si>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</si>
  <si>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</si>
  <si>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</si>
  <si>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</si>
  <si>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</si>
  <si>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</si>
  <si>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</si>
  <si>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</si>
  <si>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</si>
  <si>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</si>
  <si>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</si>
  <si>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</si>
  <si>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</si>
  <si>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</si>
  <si>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</si>
  <si>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</si>
  <si>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</si>
  <si>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</si>
  <si>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</si>
  <si>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</si>
  <si>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</si>
  <si>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</si>
  <si>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</si>
  <si>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</si>
  <si>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</si>
  <si>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</si>
  <si>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</si>
  <si>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</si>
  <si>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</si>
  <si>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</si>
  <si>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</si>
  <si>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</si>
  <si>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</si>
  <si>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</si>
  <si>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</si>
  <si>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</si>
  <si>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</si>
  <si>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</si>
  <si>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</si>
  <si>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</si>
  <si>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</si>
  <si>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</si>
  <si>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</si>
  <si>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</si>
  <si>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</si>
  <si>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</si>
  <si>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</si>
  <si>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</si>
  <si>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</si>
  <si>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</si>
  <si>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</si>
  <si>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</si>
  <si>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</si>
  <si>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</si>
  <si>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</si>
  <si>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</si>
  <si>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</si>
  <si>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</si>
  <si>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</si>
  <si>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</si>
  <si>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</si>
  <si>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</si>
  <si>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</si>
  <si>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</si>
  <si>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</si>
  <si>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</si>
  <si>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</si>
  <si>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</si>
  <si>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</si>
  <si>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</si>
  <si>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</si>
  <si>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</si>
  <si>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</si>
  <si>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</si>
  <si>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</si>
  <si>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</si>
  <si>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</si>
  <si>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</si>
  <si>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</si>
  <si>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</si>
  <si>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</si>
  <si>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</si>
  <si>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</si>
  <si>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</si>
  <si>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</si>
  <si>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</si>
  <si>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</si>
  <si>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</si>
  <si>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</si>
  <si>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</si>
  <si>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</si>
  <si>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</si>
  <si>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</si>
  <si>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</si>
  <si>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</si>
  <si>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</si>
  <si>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</si>
  <si>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</si>
  <si>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</si>
  <si>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</si>
  <si>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</si>
  <si>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</si>
  <si>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</si>
  <si>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</si>
  <si>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</si>
  <si>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</si>
  <si>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</si>
  <si>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</si>
  <si>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</si>
  <si>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</si>
  <si>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</si>
  <si>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</si>
  <si>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</si>
  <si>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</si>
  <si>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</si>
  <si>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</si>
  <si>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</si>
  <si>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</si>
  <si>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</si>
  <si>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</si>
  <si>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</si>
  <si>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</si>
  <si>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</si>
  <si>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</si>
  <si>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</si>
  <si>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</si>
  <si>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</si>
  <si>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</si>
  <si>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</si>
  <si>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</si>
  <si>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</si>
  <si>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</si>
  <si>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</si>
  <si>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</si>
  <si>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</si>
  <si>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</si>
  <si>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</si>
  <si>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</si>
  <si>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</si>
  <si>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</si>
  <si>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</si>
  <si>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</si>
  <si>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</si>
  <si>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</si>
  <si>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</si>
  <si>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</si>
  <si>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</si>
  <si>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</si>
  <si>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</si>
  <si>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</si>
  <si>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</si>
  <si>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</si>
  <si>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</si>
  <si>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</si>
  <si>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</si>
  <si>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</si>
  <si>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</si>
  <si>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</si>
  <si>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</si>
  <si>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</si>
  <si>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</si>
  <si>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</si>
  <si>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</si>
  <si>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</si>
  <si>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</si>
  <si>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</si>
  <si>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</si>
  <si>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</si>
  <si>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</si>
  <si>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</si>
  <si>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</si>
  <si>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</si>
  <si>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</si>
  <si>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</si>
  <si>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</si>
  <si>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</si>
  <si>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</si>
  <si>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</si>
  <si>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</si>
  <si>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</si>
  <si>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</si>
  <si>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</si>
  <si>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</si>
  <si>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</si>
  <si>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</si>
  <si>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</si>
  <si>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</si>
  <si>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</si>
  <si>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</si>
  <si>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</si>
  <si>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</si>
  <si>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</si>
  <si>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</si>
  <si>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</si>
  <si>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</si>
  <si>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</si>
  <si>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</si>
  <si>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</si>
  <si>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</si>
  <si>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</si>
  <si>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</si>
  <si>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</si>
  <si>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</si>
  <si>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</si>
  <si>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</si>
  <si>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</si>
  <si>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</si>
  <si>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</si>
  <si>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</si>
  <si>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</si>
  <si>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</si>
  <si>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</si>
  <si>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</si>
  <si>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</si>
  <si>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</si>
  <si>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</si>
  <si>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</si>
  <si>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</si>
  <si>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</si>
  <si>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</si>
  <si>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</si>
  <si>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</si>
  <si>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</si>
  <si>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</si>
  <si>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</si>
  <si>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</si>
  <si>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</si>
  <si>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</si>
  <si>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</si>
  <si>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</si>
  <si>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</si>
  <si>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</si>
  <si>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</si>
  <si>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</si>
  <si>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</si>
  <si>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</si>
  <si>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</si>
  <si>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</si>
  <si>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</si>
  <si>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</si>
  <si>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</si>
  <si>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</si>
  <si>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</si>
  <si>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</si>
  <si>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</si>
  <si>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</si>
  <si>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</si>
  <si>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</si>
  <si>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</si>
  <si>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</si>
  <si>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</si>
  <si>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</si>
  <si>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</si>
  <si>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</si>
  <si>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</si>
  <si>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</si>
  <si>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</si>
  <si>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</si>
  <si>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</si>
  <si>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</si>
  <si>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</si>
  <si>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</si>
  <si>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</si>
  <si>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</si>
  <si>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</si>
  <si>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</si>
  <si>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</si>
  <si>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</si>
  <si>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</si>
  <si>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</si>
  <si>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</si>
  <si>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</si>
  <si>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</si>
  <si>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</si>
  <si>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</si>
  <si>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</si>
  <si>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</si>
  <si>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</si>
  <si>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</si>
  <si>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</si>
  <si>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</si>
  <si>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</si>
  <si>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</si>
  <si>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</si>
  <si>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</si>
  <si>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</si>
  <si>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</si>
  <si>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</si>
  <si>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</si>
  <si>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</si>
  <si>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</si>
  <si>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</si>
  <si>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</si>
  <si>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</si>
  <si>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</si>
  <si>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</si>
  <si>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</si>
  <si>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</si>
  <si>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</si>
  <si>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</si>
  <si>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</si>
  <si>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</si>
  <si>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</si>
  <si>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</si>
  <si>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</si>
  <si>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</si>
  <si>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</si>
  <si>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</si>
  <si>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</si>
  <si>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</si>
  <si>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</si>
  <si>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</si>
  <si>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</si>
  <si>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</si>
  <si>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</si>
  <si>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</si>
  <si>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</si>
  <si>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</si>
  <si>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</si>
  <si>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</si>
  <si>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</si>
  <si>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</si>
  <si>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</si>
  <si>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</si>
  <si>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</si>
  <si>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</si>
  <si>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</si>
  <si>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</si>
  <si>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</si>
  <si>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</si>
  <si>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</si>
  <si>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</si>
  <si>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</si>
  <si>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</si>
  <si>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</si>
  <si>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</si>
  <si>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</si>
  <si>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</si>
  <si>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</si>
  <si>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</si>
  <si>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</si>
  <si>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</si>
  <si>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</si>
  <si>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</si>
  <si>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</si>
  <si>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</si>
  <si>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</si>
  <si>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</si>
  <si>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</si>
  <si>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</si>
  <si>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</si>
  <si>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</si>
  <si>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</si>
  <si>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</si>
  <si>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</si>
  <si>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</si>
  <si>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</si>
  <si>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</si>
  <si>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</si>
  <si>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</si>
  <si>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</si>
  <si>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</si>
  <si>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</si>
  <si>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</si>
  <si>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</si>
  <si>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</si>
  <si>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</si>
  <si>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</si>
  <si>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</si>
  <si>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</si>
  <si>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</si>
  <si>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</si>
  <si>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</si>
  <si>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</si>
  <si>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</si>
  <si>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</si>
  <si>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</si>
  <si>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</si>
  <si>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</si>
  <si>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</si>
  <si>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</si>
  <si>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</si>
  <si>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</si>
  <si>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</si>
  <si>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</si>
  <si>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</si>
  <si>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</si>
  <si>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</si>
  <si>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</si>
  <si>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</si>
  <si>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</si>
  <si>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</si>
  <si>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</si>
  <si>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</si>
  <si>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</si>
  <si>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</si>
  <si>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</si>
  <si>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</si>
  <si>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</si>
  <si>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</si>
  <si>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</si>
  <si>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</si>
  <si>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</si>
  <si>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</si>
  <si>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</si>
  <si>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</si>
  <si>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</si>
  <si>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</si>
  <si>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</si>
  <si>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</si>
  <si>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</si>
  <si>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</si>
  <si>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</si>
  <si>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</si>
  <si>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</si>
  <si>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</si>
  <si>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</si>
  <si>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</si>
  <si>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</si>
  <si>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</si>
  <si>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</si>
  <si>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</si>
  <si>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</si>
  <si>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</si>
  <si>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</si>
  <si>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</si>
  <si>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</si>
  <si>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</si>
  <si>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</si>
  <si>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</si>
  <si>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</si>
  <si>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</si>
  <si>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</si>
  <si>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</si>
  <si>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</si>
  <si>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</si>
  <si>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</si>
  <si>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</si>
  <si>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</si>
  <si>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</si>
  <si>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</si>
  <si>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</si>
  <si>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</si>
  <si>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</si>
  <si>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</si>
  <si>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</si>
  <si>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</si>
  <si>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</si>
  <si>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</si>
  <si>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</si>
  <si>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</si>
  <si>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</si>
  <si>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</si>
  <si>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</si>
  <si>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</si>
  <si>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</si>
  <si>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</si>
  <si>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</si>
  <si>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</si>
  <si>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</si>
  <si>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</si>
  <si>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</si>
  <si>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</si>
  <si>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</si>
  <si>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</si>
  <si>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</si>
  <si>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</si>
  <si>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</si>
  <si>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</si>
  <si>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</si>
  <si>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</si>
  <si>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</si>
  <si>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</si>
  <si>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</si>
  <si>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</si>
  <si>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</si>
  <si>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</si>
  <si>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</si>
  <si>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</si>
  <si>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</si>
  <si>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</si>
  <si>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</si>
  <si>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</si>
  <si>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</si>
  <si>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</si>
  <si>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</si>
  <si>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</si>
  <si>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</si>
  <si>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</si>
  <si>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</si>
  <si>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</si>
  <si>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</si>
  <si>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</si>
  <si>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</si>
  <si>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</si>
  <si>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</si>
  <si>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</si>
  <si>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</si>
  <si>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</si>
  <si>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</si>
  <si>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</si>
  <si>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</si>
  <si>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</si>
  <si>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</si>
  <si>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</si>
  <si>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</si>
  <si>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</si>
  <si>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</si>
  <si>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</si>
  <si>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</si>
  <si>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</si>
  <si>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</si>
  <si>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</si>
  <si>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</si>
  <si>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</si>
  <si>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</si>
  <si>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</si>
  <si>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</si>
  <si>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</si>
  <si>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</si>
  <si>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</si>
  <si>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</si>
  <si>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</si>
  <si>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</si>
  <si>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</si>
  <si>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</si>
  <si>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</si>
  <si>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</si>
  <si>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</si>
  <si>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</si>
  <si>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</si>
  <si>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</si>
  <si>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</si>
  <si>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</si>
  <si>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</si>
  <si>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</si>
  <si>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</si>
  <si>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</si>
  <si>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</si>
  <si>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</si>
  <si>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</si>
  <si>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</si>
  <si>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</si>
  <si>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</si>
  <si>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</si>
  <si>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</si>
  <si>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</si>
  <si>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</si>
  <si>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</si>
  <si>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</si>
  <si>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</si>
  <si>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</si>
  <si>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</si>
  <si>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</si>
  <si>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</si>
  <si>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</si>
  <si>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</si>
  <si>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</si>
  <si>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</si>
  <si>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</si>
  <si>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</si>
  <si>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</si>
  <si>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</si>
  <si>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</si>
  <si>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</si>
  <si>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</si>
  <si>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</si>
  <si>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</si>
  <si>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</si>
  <si>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</si>
  <si>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</si>
  <si>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</si>
  <si>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</si>
  <si>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</si>
  <si>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</si>
  <si>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</si>
  <si>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</si>
  <si>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</si>
  <si>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</si>
  <si>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</si>
  <si>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</si>
  <si>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</si>
  <si>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</si>
  <si>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</si>
  <si>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</si>
  <si>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</si>
  <si>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</si>
  <si>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</si>
  <si>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</si>
  <si>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</si>
  <si>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</si>
  <si>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</si>
  <si>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</si>
  <si>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</si>
  <si>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</si>
  <si>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</si>
  <si>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</si>
  <si>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</si>
  <si>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</si>
  <si>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</si>
  <si>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</si>
  <si>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</si>
  <si>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</si>
  <si>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</si>
  <si>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</si>
  <si>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</si>
  <si>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</si>
  <si>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</si>
  <si>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</si>
  <si>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</si>
  <si>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</si>
  <si>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</si>
  <si>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</si>
  <si>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</si>
  <si>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</si>
  <si>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</si>
  <si>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</si>
  <si>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</si>
  <si>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</si>
  <si>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</si>
  <si>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</si>
  <si>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</si>
  <si>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</si>
  <si>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</si>
  <si>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</si>
  <si>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</si>
  <si>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</si>
  <si>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</si>
  <si>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</si>
  <si>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</si>
  <si>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</si>
  <si>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</si>
  <si>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</si>
  <si>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</si>
  <si>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</si>
  <si>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</si>
  <si>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</si>
  <si>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</si>
  <si>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</si>
  <si>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</si>
  <si>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</si>
  <si>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</si>
  <si>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</si>
  <si>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</si>
  <si>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</si>
  <si>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</si>
  <si>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</si>
  <si>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</si>
  <si>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</si>
  <si>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</si>
  <si>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</si>
  <si>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</si>
  <si>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</si>
  <si>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</si>
  <si>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</si>
  <si>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</si>
  <si>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</si>
  <si>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</si>
  <si>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</si>
  <si>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</si>
  <si>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</si>
  <si>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</si>
  <si>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</si>
  <si>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</si>
  <si>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</si>
  <si>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</si>
  <si>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</si>
  <si>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</si>
  <si>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</si>
  <si>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</si>
  <si>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</si>
  <si>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</si>
  <si>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</si>
  <si>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</si>
  <si>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</si>
  <si>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</si>
  <si>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</si>
  <si>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</si>
  <si>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</si>
  <si>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</si>
  <si>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</si>
  <si>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</si>
  <si>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</si>
  <si>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</si>
  <si>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</si>
  <si>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</si>
  <si>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</si>
  <si>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</si>
  <si>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</si>
  <si>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</si>
  <si>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</si>
  <si>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</si>
  <si>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</si>
  <si>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</si>
  <si>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</si>
  <si>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</si>
  <si>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</si>
  <si>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</si>
  <si>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</si>
  <si>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</si>
  <si>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</si>
  <si>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</si>
  <si>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</si>
  <si>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</si>
  <si>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</si>
  <si>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</si>
  <si>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</si>
  <si>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</si>
  <si>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</si>
  <si>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</si>
  <si>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</si>
  <si>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</si>
  <si>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</si>
  <si>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</si>
  <si>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</si>
  <si>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</si>
  <si>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</si>
  <si>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</si>
  <si>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</si>
  <si>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</si>
  <si>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</si>
  <si>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</si>
  <si>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</si>
  <si>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</si>
  <si>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</si>
  <si>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</si>
  <si>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</si>
  <si>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</si>
  <si>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</si>
  <si>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</si>
  <si>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</si>
  <si>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</si>
  <si>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</si>
  <si>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</si>
  <si>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</si>
  <si>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</si>
  <si>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</si>
  <si>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</si>
  <si>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</si>
  <si>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</si>
  <si>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</si>
  <si>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</si>
  <si>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</si>
  <si>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</si>
  <si>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</si>
  <si>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</si>
  <si>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</si>
  <si>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</si>
  <si>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</si>
  <si>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</si>
  <si>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</si>
  <si>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</si>
  <si>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</si>
  <si>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</si>
  <si>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</si>
  <si>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</si>
  <si>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</si>
  <si>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</si>
  <si>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</si>
  <si>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</si>
  <si>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</si>
  <si>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</si>
  <si>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</si>
  <si>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</si>
  <si>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</si>
  <si>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</si>
  <si>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</si>
  <si>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</si>
  <si>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</si>
  <si>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</si>
  <si>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</si>
  <si>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</si>
  <si>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</si>
  <si>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</si>
  <si>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</si>
  <si>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</si>
  <si>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</si>
  <si>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</si>
  <si>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</si>
  <si>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</si>
  <si>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</si>
  <si>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</si>
  <si>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</si>
  <si>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</si>
  <si>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</si>
  <si>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</si>
  <si>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</si>
  <si>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</si>
  <si>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</si>
  <si>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</si>
  <si>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</si>
  <si>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</si>
  <si>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</si>
  <si>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</si>
  <si>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</si>
  <si>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</si>
  <si>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</si>
  <si>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</si>
  <si>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</si>
  <si>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</si>
  <si>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</si>
  <si>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</si>
  <si>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</si>
  <si>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</si>
  <si>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</si>
  <si>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</si>
  <si>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</si>
  <si>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</si>
  <si>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</si>
  <si>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</si>
  <si>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</si>
  <si>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</si>
  <si>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</si>
  <si>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</si>
  <si>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</si>
  <si>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</si>
  <si>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</si>
  <si>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</si>
  <si>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</si>
  <si>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</si>
  <si>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</si>
  <si>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</si>
  <si>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</si>
  <si>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</si>
  <si>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</si>
  <si>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</si>
  <si>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</si>
  <si>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</si>
  <si>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</si>
  <si>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</si>
  <si>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</si>
  <si>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</si>
  <si>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</si>
  <si>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</si>
  <si>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</si>
  <si>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</si>
  <si>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</si>
  <si>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</si>
  <si>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</si>
  <si>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</si>
  <si>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</si>
  <si>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</si>
  <si>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</si>
  <si>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</si>
  <si>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</si>
  <si>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</si>
  <si>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</si>
  <si>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</si>
  <si>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</si>
  <si>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</si>
  <si>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</si>
  <si>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</si>
  <si>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</si>
  <si>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</si>
  <si>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</si>
  <si>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</si>
  <si>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</si>
  <si>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</si>
  <si>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</si>
  <si>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</si>
  <si>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</si>
  <si>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</si>
  <si>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</si>
  <si>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</si>
  <si>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</si>
  <si>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</si>
  <si>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</si>
  <si>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</si>
  <si>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</si>
  <si>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</si>
  <si>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</si>
  <si>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</si>
  <si>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</si>
  <si>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</si>
  <si>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</si>
  <si>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</si>
  <si>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</si>
  <si>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</si>
  <si>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</si>
  <si>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</si>
  <si>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</si>
  <si>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</si>
  <si>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</si>
  <si>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</si>
  <si>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</si>
  <si>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</si>
  <si>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</si>
  <si>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</si>
  <si>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</si>
  <si>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</si>
  <si>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</si>
  <si>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</si>
  <si>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</si>
  <si>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</si>
  <si>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</si>
  <si>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</si>
  <si>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</si>
  <si>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</si>
  <si>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</si>
  <si>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</si>
  <si>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</si>
  <si>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</si>
  <si>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</si>
  <si>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</si>
  <si>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</si>
  <si>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</si>
  <si>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</si>
  <si>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</si>
  <si>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</si>
  <si>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</si>
  <si>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</si>
  <si>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</si>
  <si>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</si>
  <si>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</si>
  <si>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</si>
  <si>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</si>
  <si>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</si>
  <si>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</si>
  <si>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</si>
  <si>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</si>
  <si>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</si>
  <si>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</si>
  <si>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</si>
  <si>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</si>
  <si>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</si>
  <si>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</si>
  <si>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</si>
  <si>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</si>
  <si>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</si>
  <si>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</si>
  <si>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</si>
  <si>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</si>
  <si>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</si>
  <si>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</si>
  <si>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</si>
  <si>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</si>
  <si>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</si>
  <si>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</si>
  <si>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</si>
  <si>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</si>
  <si>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</si>
  <si>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</si>
  <si>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</si>
  <si>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</si>
  <si>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</si>
  <si>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</si>
  <si>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</si>
  <si>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</si>
  <si>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</si>
  <si>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</si>
  <si>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</si>
  <si>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</si>
  <si>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</si>
  <si>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</si>
  <si>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</si>
  <si>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</si>
  <si>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</si>
  <si>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</si>
  <si>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</si>
  <si>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</si>
  <si>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</si>
  <si>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</si>
  <si>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</si>
  <si>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</si>
  <si>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</si>
  <si>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</si>
  <si>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</si>
  <si>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</si>
  <si>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</si>
  <si>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</si>
  <si>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</si>
  <si>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</si>
  <si>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</si>
  <si>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</si>
  <si>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</si>
  <si>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</si>
  <si>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</si>
  <si>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</si>
  <si>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</si>
  <si>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</si>
  <si>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</si>
  <si>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</si>
  <si>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</si>
  <si>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</si>
  <si>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</si>
  <si>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</si>
  <si>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</si>
  <si>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</si>
  <si>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</si>
  <si>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</si>
  <si>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</si>
  <si>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</si>
  <si>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</si>
  <si>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</si>
  <si>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</si>
  <si>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</si>
  <si>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</si>
  <si>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</si>
  <si>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</si>
  <si>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</si>
  <si>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</si>
  <si>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</si>
  <si>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</si>
  <si>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</si>
  <si>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</si>
  <si>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</si>
  <si>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</si>
  <si>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</si>
  <si>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</si>
  <si>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</si>
  <si>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</si>
  <si>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</si>
  <si>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</si>
  <si>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</si>
  <si>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</si>
  <si>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</si>
  <si>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</si>
  <si>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</si>
  <si>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</si>
  <si>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</si>
  <si>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</si>
  <si>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</si>
  <si>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</si>
  <si>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</si>
  <si>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</si>
  <si>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</si>
  <si>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</si>
  <si>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</si>
  <si>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</si>
  <si>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</si>
  <si>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</si>
  <si>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</si>
  <si>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</si>
  <si>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</si>
  <si>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</si>
  <si>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</si>
  <si>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</si>
  <si>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</si>
  <si>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</si>
  <si>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</si>
  <si>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</si>
  <si>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</si>
  <si>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</si>
  <si>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</si>
  <si>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</si>
  <si>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</si>
  <si>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</si>
  <si>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</si>
  <si>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</si>
  <si>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</si>
  <si>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</si>
  <si>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</si>
  <si>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</si>
  <si>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</si>
  <si>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</si>
  <si>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</si>
  <si>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</si>
  <si>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</si>
  <si>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</si>
  <si>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</si>
  <si>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</si>
  <si>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</si>
  <si>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</si>
  <si>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</si>
  <si>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</si>
  <si>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</si>
  <si>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</si>
  <si>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</si>
  <si>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</si>
  <si>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</si>
  <si>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</si>
  <si>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</si>
  <si>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</si>
  <si>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</si>
  <si>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</si>
  <si>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</si>
  <si>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</si>
  <si>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</si>
  <si>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</si>
  <si>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</si>
  <si>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</si>
  <si>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</si>
  <si>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</si>
  <si>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</si>
  <si>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</si>
  <si>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</si>
  <si>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</si>
  <si>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</si>
  <si>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</si>
  <si>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</si>
  <si>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</si>
  <si>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</si>
  <si>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</si>
  <si>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</si>
  <si>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</si>
  <si>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</si>
  <si>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</si>
  <si>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</si>
  <si>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</si>
  <si>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</si>
  <si>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</si>
  <si>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</si>
  <si>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</si>
  <si>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</si>
  <si>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</si>
  <si>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</si>
  <si>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</si>
  <si>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</si>
  <si>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</si>
  <si>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</si>
  <si>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</si>
  <si>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</si>
  <si>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</si>
  <si>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</si>
  <si>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</si>
  <si>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</si>
  <si>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</si>
  <si>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</si>
  <si>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</si>
  <si>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</si>
  <si>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</si>
  <si>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</si>
  <si>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</si>
  <si>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</si>
  <si>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</si>
  <si>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</si>
  <si>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</si>
  <si>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</si>
  <si>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</si>
  <si>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</si>
  <si>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</si>
  <si>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</si>
  <si>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</si>
  <si>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</si>
  <si>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</si>
  <si>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</si>
  <si>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</si>
  <si>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</si>
  <si>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</si>
  <si>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</si>
  <si>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</si>
  <si>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</si>
  <si>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</si>
  <si>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</si>
  <si>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</si>
  <si>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</si>
  <si>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</si>
  <si>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</si>
  <si>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</si>
  <si>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</si>
  <si>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</si>
  <si>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</si>
  <si>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</si>
  <si>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</si>
  <si>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</si>
  <si>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</si>
  <si>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</si>
  <si>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</si>
  <si>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</si>
  <si>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</si>
  <si>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</si>
  <si>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</si>
  <si>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</si>
  <si>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</si>
  <si>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</si>
  <si>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</si>
  <si>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</si>
  <si>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</si>
  <si>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</si>
  <si>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</si>
  <si>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</si>
  <si>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</si>
  <si>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</si>
  <si>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</si>
  <si>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</si>
  <si>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</si>
  <si>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</si>
  <si>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</si>
  <si>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</si>
  <si>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</si>
  <si>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</si>
  <si>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</si>
  <si>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</si>
  <si>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</si>
  <si>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</si>
  <si>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</si>
  <si>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</si>
  <si>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</si>
  <si>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</si>
  <si>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</si>
  <si>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</si>
  <si>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</si>
  <si>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</si>
  <si>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</si>
  <si>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</si>
  <si>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</si>
  <si>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</si>
  <si>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</si>
  <si>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</si>
  <si>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</si>
  <si>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</si>
  <si>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</si>
  <si>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</si>
  <si>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</si>
  <si>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</si>
  <si>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</si>
  <si>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</si>
  <si>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</si>
  <si>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</si>
  <si>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</si>
  <si>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</si>
  <si>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</si>
  <si>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</si>
  <si>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</si>
  <si>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</si>
  <si>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</si>
  <si>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</si>
  <si>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</si>
  <si>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</si>
  <si>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</si>
  <si>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</si>
  <si>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</si>
  <si>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</si>
  <si>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</si>
  <si>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</si>
  <si>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</si>
  <si>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</si>
  <si>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</si>
  <si>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</si>
  <si>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</si>
  <si>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</si>
  <si>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</si>
  <si>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</si>
  <si>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</si>
  <si>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</si>
  <si>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</si>
  <si>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</si>
  <si>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</si>
  <si>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</si>
  <si>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</si>
  <si>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</si>
  <si>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</si>
  <si>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</si>
  <si>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</si>
  <si>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</si>
  <si>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</si>
  <si>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</si>
  <si>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</si>
  <si>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</si>
  <si>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</si>
  <si>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</si>
  <si>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</si>
  <si>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</si>
  <si>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</si>
  <si>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</si>
  <si>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</si>
  <si>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</si>
  <si>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</si>
  <si>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</si>
  <si>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</si>
  <si>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</si>
  <si>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</si>
  <si>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</si>
  <si>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</si>
  <si>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</si>
  <si>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</si>
  <si>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</si>
  <si>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</si>
  <si>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</si>
  <si>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</si>
  <si>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</si>
  <si>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</si>
  <si>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</si>
  <si>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</si>
  <si>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</si>
  <si>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</si>
  <si>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</si>
  <si>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</si>
  <si>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</si>
  <si>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</si>
  <si>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</si>
  <si>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</si>
  <si>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</si>
  <si>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</si>
  <si>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</si>
  <si>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</si>
  <si>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</si>
  <si>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</si>
  <si>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</si>
  <si>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</si>
  <si>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</si>
  <si>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</si>
  <si>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</si>
  <si>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</si>
  <si>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</si>
  <si>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</si>
  <si>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</si>
  <si>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</si>
  <si>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</si>
  <si>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</si>
  <si>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</si>
  <si>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</si>
  <si>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</si>
  <si>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</si>
  <si>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</si>
  <si>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</si>
  <si>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</si>
  <si>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</si>
  <si>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</si>
  <si>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</si>
  <si>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</si>
  <si>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</si>
  <si>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</si>
  <si>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</si>
  <si>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</si>
  <si>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</si>
  <si>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</si>
  <si>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</si>
  <si>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</si>
  <si>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</si>
  <si>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</si>
  <si>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</si>
  <si>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</si>
  <si>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</si>
  <si>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</si>
  <si>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</si>
  <si>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</si>
  <si>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</si>
  <si>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</si>
  <si>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</si>
  <si>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</si>
  <si>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</si>
  <si>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</si>
  <si>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</si>
  <si>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</si>
  <si>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</si>
  <si>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</si>
  <si>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</si>
  <si>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</si>
  <si>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</si>
  <si>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</si>
  <si>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</si>
  <si>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</si>
  <si>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</si>
  <si>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</si>
  <si>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</si>
  <si>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</si>
  <si>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</si>
  <si>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</si>
  <si>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</si>
  <si>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</si>
  <si>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</si>
  <si>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</si>
  <si>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</si>
  <si>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</si>
  <si>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</si>
  <si>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</si>
  <si>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</si>
  <si>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</si>
  <si>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</si>
  <si>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</si>
  <si>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</si>
  <si>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</si>
  <si>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</si>
  <si>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</si>
  <si>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</si>
  <si>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</si>
  <si>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</si>
  <si>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</si>
  <si>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</si>
  <si>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</si>
  <si>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</si>
  <si>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</si>
  <si>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</si>
  <si>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</si>
  <si>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</si>
  <si>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</si>
  <si>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</si>
  <si>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</si>
  <si>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</si>
  <si>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</si>
  <si>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</si>
  <si>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</si>
  <si>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</si>
  <si>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</si>
  <si>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</si>
  <si>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</si>
  <si>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</si>
  <si>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</si>
  <si>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</si>
  <si>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</si>
  <si>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</si>
  <si>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</si>
  <si>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</si>
  <si>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</si>
  <si>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</si>
  <si>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</si>
  <si>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</si>
  <si>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</si>
  <si>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</si>
  <si>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</si>
  <si>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</si>
  <si>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</si>
  <si>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</si>
  <si>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</si>
  <si>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</si>
  <si>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</si>
  <si>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</si>
  <si>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</si>
  <si>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</si>
  <si>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</si>
  <si>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</si>
  <si>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</si>
  <si>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</si>
  <si>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</si>
  <si>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</si>
  <si>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</si>
  <si>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</si>
  <si>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</si>
  <si>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</si>
  <si>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</si>
  <si>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</si>
  <si>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</si>
  <si>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</si>
  <si>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</si>
  <si>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</si>
  <si>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</si>
  <si>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</si>
  <si>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</si>
  <si>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</si>
  <si>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</si>
  <si>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</si>
  <si>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</si>
  <si>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</si>
  <si>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</si>
  <si>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</si>
  <si>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</si>
  <si>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</si>
  <si>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</si>
  <si>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</si>
  <si>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</si>
  <si>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</si>
  <si>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</si>
  <si>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</si>
  <si>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</si>
  <si>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</si>
  <si>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</si>
  <si>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</si>
  <si>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</si>
  <si>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</si>
  <si>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</si>
  <si>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</si>
  <si>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</si>
  <si>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</si>
  <si>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</si>
  <si>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</si>
  <si>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</si>
  <si>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</si>
  <si>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</si>
  <si>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</si>
  <si>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</si>
  <si>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</si>
  <si>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</si>
  <si>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</si>
  <si>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</si>
  <si>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</si>
  <si>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</si>
  <si>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</si>
  <si>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</si>
  <si>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</si>
  <si>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</si>
  <si>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</si>
  <si>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</si>
  <si>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</si>
  <si>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</si>
  <si>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</si>
  <si>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</si>
  <si>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</si>
  <si>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</si>
  <si>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</si>
  <si>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</si>
  <si>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</si>
  <si>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</si>
  <si>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</si>
  <si>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</si>
  <si>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</si>
  <si>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</si>
  <si>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</si>
  <si>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</si>
  <si>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</si>
  <si>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</si>
  <si>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</si>
  <si>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</si>
  <si>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</si>
  <si>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</si>
  <si>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</si>
  <si>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</si>
  <si>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</si>
  <si>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</si>
  <si>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</si>
  <si>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</si>
  <si>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</si>
  <si>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</si>
  <si>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</si>
  <si>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</si>
  <si>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</si>
  <si>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</si>
  <si>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</si>
  <si>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</si>
  <si>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</si>
  <si>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</si>
  <si>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</si>
  <si>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</si>
  <si>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</si>
  <si>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</si>
  <si>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</si>
  <si>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</si>
  <si>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</si>
  <si>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</si>
  <si>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</si>
  <si>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</si>
  <si>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</si>
  <si>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</si>
  <si>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</si>
  <si>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</si>
  <si>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</si>
  <si>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</si>
  <si>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</si>
  <si>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</si>
  <si>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</si>
  <si>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</si>
  <si>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</si>
  <si>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</si>
  <si>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</si>
  <si>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</si>
  <si>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</si>
  <si>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</si>
  <si>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</si>
  <si>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</si>
  <si>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</si>
  <si>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</si>
  <si>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</si>
  <si>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</si>
  <si>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</si>
  <si>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</si>
  <si>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</si>
  <si>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</si>
  <si>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</si>
  <si>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</si>
  <si>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</si>
  <si>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</si>
  <si>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</si>
  <si>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</si>
  <si>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</si>
  <si>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</si>
  <si>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</si>
  <si>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</si>
  <si>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</si>
  <si>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</si>
  <si>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</si>
  <si>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</si>
  <si>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</si>
  <si>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</si>
  <si>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</si>
  <si>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</si>
  <si>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</si>
  <si>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</si>
  <si>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</si>
  <si>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</si>
  <si>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</si>
  <si>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</si>
  <si>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</si>
  <si>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</si>
  <si>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</si>
  <si>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</si>
  <si>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</si>
  <si>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</si>
  <si>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</si>
  <si>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</si>
  <si>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</si>
  <si>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</si>
  <si>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</si>
  <si>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</si>
  <si>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</si>
  <si>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</si>
  <si>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</si>
  <si>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</si>
  <si>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</si>
  <si>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</si>
  <si>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</si>
  <si>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</si>
  <si>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</si>
  <si>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</si>
  <si>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</si>
  <si>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</si>
  <si>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</si>
  <si>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</si>
  <si>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</si>
  <si>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</si>
  <si>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</si>
  <si>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</si>
  <si>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</si>
  <si>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</si>
  <si>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</si>
  <si>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</si>
  <si>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</si>
  <si>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</si>
  <si>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</si>
  <si>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</si>
  <si>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</si>
  <si>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</si>
  <si>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</si>
  <si>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</si>
  <si>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</si>
  <si>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</si>
  <si>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</si>
  <si>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</si>
  <si>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</si>
  <si>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</si>
  <si>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</si>
  <si>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</si>
  <si>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</si>
  <si>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</si>
  <si>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</si>
  <si>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</si>
  <si>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</si>
  <si>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</si>
  <si>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</si>
  <si>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</si>
  <si>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</si>
  <si>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</si>
  <si>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</si>
  <si>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</si>
  <si>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</si>
  <si>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</si>
  <si>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</si>
  <si>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</si>
  <si>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</si>
  <si>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</si>
  <si>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</si>
  <si>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</si>
  <si>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</si>
  <si>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</si>
  <si>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</si>
  <si>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</si>
  <si>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</si>
  <si>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</si>
  <si>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</si>
  <si>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</si>
  <si>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</si>
  <si>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</si>
  <si>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</si>
  <si>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</si>
  <si>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</si>
  <si>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</si>
  <si>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</si>
  <si>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</si>
  <si>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</si>
  <si>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</si>
  <si>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</si>
  <si>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</si>
  <si>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</si>
  <si>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</si>
  <si>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</si>
  <si>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</si>
  <si>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</si>
  <si>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</si>
  <si>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</si>
  <si>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</si>
  <si>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</si>
  <si>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</si>
  <si>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</si>
  <si>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</si>
  <si>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</si>
  <si>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</si>
  <si>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</si>
  <si>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</si>
  <si>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</si>
  <si>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</si>
  <si>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</si>
  <si>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</si>
  <si>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</si>
  <si>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</si>
  <si>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</si>
  <si>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</si>
  <si>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</si>
  <si>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</si>
  <si>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</si>
  <si>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</si>
  <si>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</si>
  <si>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</si>
  <si>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</si>
  <si>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</si>
  <si>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</si>
  <si>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</si>
  <si>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</si>
  <si>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</si>
  <si>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</si>
  <si>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</si>
  <si>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</si>
  <si>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</si>
  <si>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</si>
  <si>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</si>
  <si>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</si>
  <si>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</si>
  <si>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</si>
  <si>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</si>
  <si>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</si>
  <si>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</si>
  <si>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</si>
  <si>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</si>
  <si>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</si>
  <si>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</si>
  <si>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</si>
  <si>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</si>
  <si>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</si>
  <si>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</si>
  <si>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</si>
  <si>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</si>
  <si>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</si>
  <si>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</si>
  <si>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</si>
  <si>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</si>
  <si>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</si>
  <si>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</si>
  <si>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</si>
  <si>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</si>
  <si>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</si>
  <si>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</si>
  <si>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</si>
  <si>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</si>
  <si>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</si>
  <si>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</si>
  <si>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</si>
  <si>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</si>
  <si>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</si>
  <si>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</si>
  <si>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</si>
  <si>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</si>
  <si>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</si>
  <si>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</si>
  <si>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</si>
  <si>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</si>
  <si>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</si>
  <si>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</si>
  <si>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</si>
  <si>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</si>
  <si>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</si>
  <si>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</si>
  <si>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</si>
  <si>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</si>
  <si>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</si>
  <si>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</si>
  <si>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</si>
  <si>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</si>
  <si>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</si>
  <si>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</si>
  <si>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</si>
  <si>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</si>
  <si>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</si>
  <si>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</si>
  <si>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</si>
  <si>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</si>
  <si>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</si>
  <si>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</si>
  <si>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</si>
  <si>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</si>
  <si>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</si>
  <si>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</si>
  <si>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</si>
  <si>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</si>
  <si>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</si>
  <si>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</si>
  <si>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</si>
  <si>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</si>
  <si>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</si>
  <si>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</si>
  <si>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</si>
  <si>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</si>
  <si>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</si>
  <si>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</si>
  <si>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</si>
  <si>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</si>
  <si>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</si>
  <si>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</si>
  <si>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</si>
  <si>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</si>
  <si>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</si>
  <si>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</si>
  <si>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</si>
  <si>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</si>
  <si>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</si>
  <si>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</si>
  <si>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</si>
  <si>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</si>
  <si>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</si>
  <si>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</si>
  <si>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</si>
  <si>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</si>
  <si>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</si>
  <si>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</si>
  <si>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</si>
  <si>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</si>
  <si>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</si>
  <si>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</si>
  <si>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</si>
  <si>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</si>
  <si>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</si>
  <si>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</si>
  <si>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</si>
  <si>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</si>
  <si>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</si>
  <si>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</si>
  <si>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</si>
  <si>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</si>
  <si>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</si>
  <si>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</si>
  <si>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</si>
  <si>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</si>
  <si>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</si>
  <si>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</si>
  <si>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</si>
  <si>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</si>
  <si>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</si>
  <si>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</si>
  <si>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</si>
  <si>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</si>
  <si>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</si>
  <si>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</si>
  <si>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</si>
  <si>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</si>
  <si>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</si>
  <si>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</si>
  <si>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</si>
  <si>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</si>
  <si>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</si>
  <si>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</si>
  <si>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</si>
  <si>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</si>
  <si>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</si>
  <si>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</si>
  <si>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</si>
  <si>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</si>
  <si>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</si>
  <si>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</si>
  <si>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</si>
  <si>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</si>
  <si>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</si>
  <si>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</si>
  <si>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</si>
  <si>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</si>
  <si>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</si>
  <si>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</si>
  <si>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</si>
  <si>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</si>
  <si>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</si>
  <si>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</si>
  <si>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</si>
  <si>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</si>
  <si>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</si>
  <si>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</si>
  <si>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</si>
  <si>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</si>
  <si>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</si>
  <si>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</si>
  <si>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</si>
  <si>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</si>
  <si>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</si>
  <si>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</si>
  <si>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</si>
  <si>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</si>
  <si>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</si>
  <si>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</si>
  <si>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</si>
  <si>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</si>
  <si>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</si>
  <si>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</si>
  <si>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</si>
  <si>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</si>
  <si>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</si>
  <si>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</si>
  <si>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</si>
  <si>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</si>
  <si>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</si>
  <si>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</si>
  <si>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</si>
  <si>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</si>
  <si>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</si>
  <si>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</si>
  <si>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</si>
  <si>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</si>
  <si>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</si>
  <si>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</si>
  <si>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</si>
  <si>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</si>
  <si>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</si>
  <si>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</si>
  <si>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</si>
  <si>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</si>
  <si>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</si>
  <si>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</si>
  <si>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</si>
  <si>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</si>
  <si>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</si>
  <si>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</si>
  <si>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</si>
  <si>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</si>
  <si>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</si>
  <si>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</si>
  <si>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</si>
  <si>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</si>
  <si>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</si>
  <si>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</si>
  <si>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</si>
  <si>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</si>
  <si>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</si>
  <si>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</si>
  <si>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</si>
  <si>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</si>
  <si>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</si>
  <si>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</si>
  <si>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</si>
  <si>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</si>
  <si>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</si>
  <si>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</si>
  <si>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</si>
  <si>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</si>
  <si>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</si>
  <si>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</si>
  <si>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</si>
  <si>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</si>
  <si>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</si>
  <si>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</si>
  <si>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</si>
  <si>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</si>
  <si>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</si>
  <si>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</si>
  <si>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</si>
  <si>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</si>
  <si>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</si>
  <si>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</si>
  <si>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</si>
  <si>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</si>
  <si>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</si>
  <si>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</si>
  <si>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</si>
  <si>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</si>
  <si>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</si>
  <si>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</si>
  <si>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</si>
  <si>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</si>
  <si>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</si>
  <si>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</si>
  <si>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</si>
  <si>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</si>
  <si>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</si>
  <si>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</si>
  <si>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</si>
  <si>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</si>
  <si>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</si>
  <si>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</si>
  <si>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</si>
  <si>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</si>
  <si>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</si>
  <si>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</si>
  <si>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</si>
  <si>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</si>
  <si>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</si>
  <si>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</si>
  <si>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</si>
  <si>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</si>
  <si>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</si>
  <si>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</si>
  <si>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</si>
  <si>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</si>
  <si>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</si>
  <si>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</si>
  <si>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</si>
  <si>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</si>
  <si>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</si>
  <si>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</si>
  <si>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</si>
  <si>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</si>
  <si>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</si>
  <si>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</si>
  <si>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</si>
  <si>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</si>
  <si>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</si>
  <si>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</si>
  <si>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</si>
  <si>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</si>
  <si>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</si>
  <si>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</si>
  <si>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</si>
  <si>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</si>
  <si>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</si>
  <si>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</si>
  <si>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</si>
  <si>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</si>
  <si>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</si>
  <si>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</si>
  <si>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</si>
  <si>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</si>
  <si>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</si>
  <si>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</si>
  <si>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</si>
  <si>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</si>
  <si>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</si>
  <si>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</si>
  <si>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</si>
  <si>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</si>
  <si>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</si>
  <si>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</si>
  <si>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</si>
  <si>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</si>
  <si>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</si>
  <si>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</si>
  <si>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</si>
  <si>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</si>
  <si>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</si>
  <si>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</si>
  <si>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</si>
  <si>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</si>
  <si>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</si>
  <si>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</si>
  <si>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</si>
  <si>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</si>
  <si>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</si>
  <si>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</si>
  <si>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</si>
  <si>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</si>
  <si>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</si>
  <si>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</si>
  <si>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</si>
  <si>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</si>
  <si>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</si>
  <si>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</si>
  <si>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</si>
  <si>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</si>
  <si>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</si>
  <si>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</si>
  <si>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</si>
  <si>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</si>
  <si>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</si>
  <si>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</si>
  <si>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</si>
  <si>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</si>
  <si>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</si>
  <si>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</si>
  <si>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</si>
  <si>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</si>
  <si>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</si>
  <si>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</si>
  <si>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</si>
  <si>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</si>
  <si>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</si>
  <si>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</si>
  <si>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</si>
  <si>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</si>
  <si>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</si>
  <si>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</si>
  <si>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</si>
  <si>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</si>
  <si>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</si>
  <si>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</si>
  <si>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</si>
  <si>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</si>
  <si>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</si>
  <si>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</si>
  <si>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</si>
  <si>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</si>
  <si>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</si>
  <si>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</si>
  <si>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</si>
  <si>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</si>
  <si>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</si>
  <si>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</si>
  <si>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</si>
  <si>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</si>
  <si>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</si>
  <si>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</si>
  <si>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</si>
  <si>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</si>
  <si>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</si>
  <si>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</si>
  <si>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</si>
  <si>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</si>
  <si>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</si>
  <si>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</si>
  <si>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</si>
  <si>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</si>
  <si>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</si>
  <si>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</si>
  <si>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</si>
  <si>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</si>
  <si>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</si>
  <si>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</si>
  <si>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</si>
  <si>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</si>
  <si>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</si>
  <si>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</si>
  <si>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</si>
  <si>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</si>
  <si>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</si>
  <si>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</si>
  <si>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</si>
  <si>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</si>
  <si>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</si>
  <si>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</si>
  <si>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</si>
  <si>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</si>
  <si>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</si>
  <si>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</si>
  <si>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</si>
  <si>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</si>
  <si>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</si>
  <si>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</si>
  <si>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</si>
  <si>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</si>
  <si>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</si>
  <si>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</si>
  <si>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</si>
  <si>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</si>
  <si>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</si>
  <si>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</si>
  <si>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</si>
  <si>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</si>
  <si>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</si>
  <si>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</si>
  <si>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</si>
  <si>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</si>
  <si>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</si>
  <si>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</si>
  <si>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</si>
  <si>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</si>
  <si>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</si>
  <si>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</si>
  <si>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</si>
  <si>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</si>
  <si>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</si>
  <si>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</si>
  <si>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</si>
  <si>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</si>
  <si>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</si>
  <si>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</si>
  <si>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</si>
  <si>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</si>
  <si>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</si>
  <si>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</si>
  <si>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</si>
  <si>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</si>
  <si>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</si>
  <si>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</si>
  <si>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</si>
  <si>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</si>
  <si>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</si>
  <si>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</si>
  <si>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</si>
  <si>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</si>
  <si>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</si>
  <si>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</si>
  <si>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</si>
  <si>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</si>
  <si>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</si>
  <si>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</si>
  <si>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</si>
  <si>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</si>
  <si>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</si>
  <si>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</si>
  <si>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</si>
  <si>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</si>
  <si>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</si>
  <si>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</si>
  <si>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</si>
  <si>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</si>
  <si>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</si>
  <si>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</si>
  <si>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</si>
  <si>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</si>
  <si>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</si>
  <si>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</si>
  <si>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</si>
  <si>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</si>
  <si>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</si>
  <si>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</si>
  <si>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</si>
  <si>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</si>
  <si>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</si>
  <si>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</si>
  <si>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</si>
  <si>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</si>
  <si>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</si>
  <si>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</si>
  <si>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</si>
  <si>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</si>
  <si>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</si>
  <si>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</si>
  <si>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</si>
  <si>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</si>
  <si>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</si>
  <si>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</si>
  <si>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</si>
  <si>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</si>
  <si>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</si>
  <si>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</si>
  <si>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</si>
  <si>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</si>
  <si>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</si>
  <si>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</si>
  <si>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</si>
  <si>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</si>
  <si>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</si>
  <si>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</si>
  <si>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</si>
  <si>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</si>
  <si>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</si>
  <si>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</si>
  <si>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</si>
  <si>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</si>
  <si>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</si>
  <si>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</si>
  <si>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</si>
  <si>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</si>
  <si>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</si>
  <si>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</si>
  <si>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</si>
  <si>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</si>
  <si>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</si>
  <si>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</si>
  <si>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</si>
  <si>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</si>
  <si>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</si>
  <si>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</si>
  <si>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</si>
  <si>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</si>
  <si>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</si>
  <si>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</si>
  <si>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</si>
  <si>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</si>
  <si>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</si>
  <si>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</si>
  <si>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</si>
  <si>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</si>
  <si>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</si>
  <si>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</si>
  <si>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</si>
  <si>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</si>
  <si>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</si>
  <si>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</si>
  <si>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</si>
  <si>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</si>
  <si>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</si>
  <si>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</si>
  <si>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</si>
  <si>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</si>
  <si>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</si>
  <si>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</si>
  <si>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</si>
  <si>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</si>
  <si>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</si>
  <si>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</si>
  <si>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</si>
  <si>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</si>
  <si>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</si>
  <si>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</si>
  <si>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</si>
  <si>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</si>
  <si>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</si>
  <si>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</si>
  <si>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</si>
  <si>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</si>
  <si>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</si>
  <si>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</si>
  <si>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</si>
  <si>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</si>
  <si>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</si>
  <si>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</si>
  <si>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</si>
  <si>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</si>
  <si>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</si>
  <si>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</si>
  <si>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</si>
  <si>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</si>
  <si>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</si>
  <si>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</si>
  <si>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</si>
  <si>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</si>
  <si>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</si>
  <si>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</si>
  <si>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</si>
  <si>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</si>
  <si>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</si>
  <si>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</si>
  <si>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</si>
  <si>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</si>
  <si>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</si>
  <si>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</si>
  <si>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</si>
  <si>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</si>
  <si>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</si>
  <si>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</si>
  <si>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</si>
  <si>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</si>
  <si>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</si>
  <si>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</si>
  <si>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</si>
  <si>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</si>
  <si>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</si>
  <si>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</si>
  <si>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</si>
  <si>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</si>
  <si>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</si>
  <si>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</si>
  <si>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</si>
  <si>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</si>
  <si>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</si>
  <si>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</si>
  <si>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</si>
  <si>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</si>
  <si>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</si>
  <si>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</si>
  <si>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</si>
  <si>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</si>
  <si>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</si>
  <si>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</si>
  <si>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</si>
  <si>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</si>
  <si>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</si>
  <si>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</si>
  <si>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</si>
  <si>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</si>
  <si>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</si>
  <si>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</si>
  <si>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</si>
  <si>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</si>
  <si>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</si>
  <si>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</si>
  <si>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</si>
  <si>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</si>
  <si>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</si>
  <si>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</si>
  <si>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</si>
  <si>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</si>
  <si>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</si>
  <si>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</si>
  <si>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</si>
  <si>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</si>
  <si>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</si>
  <si>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</si>
  <si>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</si>
  <si>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</si>
  <si>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</si>
  <si>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</si>
  <si>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</si>
  <si>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</si>
  <si>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</si>
  <si>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</si>
  <si>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</si>
  <si>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</si>
  <si>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</si>
  <si>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</si>
  <si>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</si>
  <si>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</si>
  <si>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</si>
  <si>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</si>
  <si>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</si>
  <si>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</si>
  <si>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</si>
  <si>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</si>
  <si>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</si>
  <si>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</si>
  <si>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</si>
  <si>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</si>
  <si>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</si>
  <si>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</si>
  <si>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26211106548</t>
  </si>
  <si>
    <t>03200426</t>
  </si>
  <si>
    <t>020032462</t>
  </si>
  <si>
    <t>STAMBENO KOMUNALNO GOSPODARSTVO D.O.O.</t>
  </si>
  <si>
    <t>OGULIN</t>
  </si>
  <si>
    <t>IVANA GORANA KOVAČIĆA 8</t>
  </si>
  <si>
    <t>skg.ogulin@gmail.com</t>
  </si>
  <si>
    <t>047/532-314</t>
  </si>
  <si>
    <t>www.skg.hr</t>
  </si>
  <si>
    <t>VESNA CINDRIĆ</t>
  </si>
  <si>
    <t>047-532-314</t>
  </si>
  <si>
    <t>vesna.cindric.skg@gamil.com</t>
  </si>
  <si>
    <t>SANJA TOMIĆ</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</si>
</sst>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2" xfId="21"/>
    <cellStyle name="40% - Isticanje3" xfId="22"/>
    <cellStyle name="40% - Isticanje4" xfId="23"/>
    <cellStyle name="40% - Isticanje5" xfId="24"/>
    <cellStyle name="40% - Isticanje6" xfId="25"/>
    <cellStyle name="40% - Naglasak1"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2018</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167737.2</v>
      </c>
      <c r="I3" s="31">
        <f>ABS(ROUND(J3,0)-J3)+ABS(ROUND(K3,0)-K3)</f>
        <v>0</v>
      </c>
      <c r="J3" s="31">
        <f>Bilanca!I10</f>
        <v>2944652</v>
      </c>
      <c r="K3" s="31">
        <f>Bilanca!J10</f>
        <v>2721104</v>
      </c>
    </row>
    <row r="4" spans="1:11" ht="12.75">
      <c r="A4" s="4" t="s">
        <v>1088</v>
      </c>
      <c r="B4" s="29" t="s">
        <v>1888</v>
      </c>
      <c r="D4" s="4" t="s">
        <v>1521</v>
      </c>
      <c r="E4" s="4">
        <v>1</v>
      </c>
      <c r="F4" s="4">
        <f>Bilanca!G11</f>
        <v>3</v>
      </c>
      <c r="G4" s="4">
        <f>IF(Bilanca!H11=0,"",Bilanca!H11)</f>
      </c>
      <c r="H4" s="30">
        <f>J4/100*F4+2*K4/100*F4</f>
        <v>2749.35</v>
      </c>
      <c r="I4" s="31">
        <f>ABS(ROUND(J4,0)-J4)+ABS(ROUND(K4,0)-K4)</f>
        <v>0</v>
      </c>
      <c r="J4" s="31">
        <f>Bilanca!I11</f>
        <v>27765</v>
      </c>
      <c r="K4" s="31">
        <f>Bilanca!J11</f>
        <v>31940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03200426</v>
      </c>
      <c r="D6" s="4" t="s">
        <v>1521</v>
      </c>
      <c r="E6" s="4">
        <v>1</v>
      </c>
      <c r="F6" s="4">
        <f>Bilanca!G13</f>
        <v>5</v>
      </c>
      <c r="G6" s="4">
        <f>IF(Bilanca!H13=0,"",Bilanca!H13)</f>
      </c>
      <c r="H6" s="30">
        <f aca="true" t="shared" si="0" ref="H6:H45">J6/100*F6+2*K6/100*F6</f>
        <v>4582.25</v>
      </c>
      <c r="I6" s="31">
        <f aca="true" t="shared" si="1" ref="I6:I45">ABS(ROUND(J6,0)-J6)+ABS(ROUND(K6,0)-K6)</f>
        <v>0</v>
      </c>
      <c r="J6" s="31">
        <f>Bilanca!I13</f>
        <v>27765</v>
      </c>
      <c r="K6" s="31">
        <f>Bilanca!J13</f>
        <v>31940</v>
      </c>
    </row>
    <row r="7" spans="1:11" ht="12.75">
      <c r="A7" s="4" t="s">
        <v>2353</v>
      </c>
      <c r="B7" s="29" t="str">
        <f>RefStr!M27</f>
        <v>020032462</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26211106548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STAMBENO KOMUNALNO GOSPODARSTVO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47300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OGULIN</v>
      </c>
      <c r="D11" s="4" t="s">
        <v>1521</v>
      </c>
      <c r="E11" s="4">
        <v>1</v>
      </c>
      <c r="F11" s="4">
        <f>Bilanca!G18</f>
        <v>10</v>
      </c>
      <c r="G11" s="4">
        <f>IF(Bilanca!H18=0,"",Bilanca!H18)</f>
      </c>
      <c r="H11" s="30">
        <f t="shared" si="0"/>
        <v>821097.5</v>
      </c>
      <c r="I11" s="31">
        <f t="shared" si="1"/>
        <v>0</v>
      </c>
      <c r="J11" s="31">
        <f>Bilanca!I18</f>
        <v>2884579</v>
      </c>
      <c r="K11" s="31">
        <f>Bilanca!J18</f>
        <v>2663198</v>
      </c>
    </row>
    <row r="12" spans="1:11" ht="12.75">
      <c r="A12" s="4" t="s">
        <v>2357</v>
      </c>
      <c r="B12" s="29" t="str">
        <f>TRIM(RefStr!C33)</f>
        <v>IVANA GORANA KOVAČIĆA 8</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skg.ogulin@gmail.com</v>
      </c>
      <c r="D13" s="4" t="s">
        <v>1521</v>
      </c>
      <c r="E13" s="4">
        <v>1</v>
      </c>
      <c r="F13" s="4">
        <f>Bilanca!G20</f>
        <v>12</v>
      </c>
      <c r="G13" s="4">
        <f>IF(Bilanca!H20=0,"",Bilanca!H20)</f>
      </c>
      <c r="H13" s="30">
        <f t="shared" si="0"/>
        <v>847119.96</v>
      </c>
      <c r="I13" s="31">
        <f t="shared" si="1"/>
        <v>0</v>
      </c>
      <c r="J13" s="31">
        <f>Bilanca!I20</f>
        <v>2513645</v>
      </c>
      <c r="K13" s="31">
        <f>Bilanca!J20</f>
        <v>2272844</v>
      </c>
    </row>
    <row r="14" spans="1:11" ht="12.75">
      <c r="A14" s="4" t="s">
        <v>1194</v>
      </c>
      <c r="B14" s="29" t="str">
        <f>TRIM(RefStr!C37)</f>
        <v>www.skg.hr</v>
      </c>
      <c r="D14" s="4" t="s">
        <v>1521</v>
      </c>
      <c r="E14" s="4">
        <v>1</v>
      </c>
      <c r="F14" s="4">
        <f>Bilanca!G21</f>
        <v>13</v>
      </c>
      <c r="G14" s="4">
        <f>IF(Bilanca!H21=0,"",Bilanca!H21)</f>
      </c>
      <c r="H14" s="30">
        <f t="shared" si="0"/>
        <v>93061.93</v>
      </c>
      <c r="I14" s="31">
        <f t="shared" si="1"/>
        <v>0</v>
      </c>
      <c r="J14" s="31">
        <f>Bilanca!I21</f>
        <v>205889</v>
      </c>
      <c r="K14" s="31">
        <f>Bilanca!J21</f>
        <v>254986</v>
      </c>
    </row>
    <row r="15" spans="1:11" ht="12.75">
      <c r="A15" s="4" t="s">
        <v>2360</v>
      </c>
      <c r="B15" s="29" t="str">
        <f>TEXT(RefStr!J39,"00")</f>
        <v>04</v>
      </c>
      <c r="D15" s="4" t="s">
        <v>1521</v>
      </c>
      <c r="E15" s="4">
        <v>1</v>
      </c>
      <c r="F15" s="4">
        <f>Bilanca!G22</f>
        <v>14</v>
      </c>
      <c r="G15" s="4">
        <f>IF(Bilanca!H22=0,"",Bilanca!H22)</f>
      </c>
      <c r="H15" s="30">
        <f t="shared" si="0"/>
        <v>61009.34</v>
      </c>
      <c r="I15" s="31">
        <f t="shared" si="1"/>
        <v>0</v>
      </c>
      <c r="J15" s="31">
        <f>Bilanca!I22</f>
        <v>165045</v>
      </c>
      <c r="K15" s="31">
        <f>Bilanca!J22</f>
        <v>135368</v>
      </c>
    </row>
    <row r="16" spans="1:11" ht="12.75">
      <c r="A16" s="4" t="s">
        <v>2359</v>
      </c>
      <c r="B16" s="29" t="str">
        <f>TEXT(RefStr!C39,"000")</f>
        <v>297</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4110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1887</v>
      </c>
      <c r="I21" s="31">
        <f t="shared" si="1"/>
        <v>0</v>
      </c>
      <c r="J21" s="31">
        <f>Bilanca!I28</f>
        <v>3145</v>
      </c>
      <c r="K21" s="31">
        <f>Bilanca!J28</f>
        <v>3145</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50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53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50</v>
      </c>
      <c r="D28" s="4" t="s">
        <v>1521</v>
      </c>
      <c r="E28" s="4">
        <v>1</v>
      </c>
      <c r="F28" s="4">
        <f>Bilanca!G35</f>
        <v>27</v>
      </c>
      <c r="G28" s="4">
        <f>IF(Bilanca!H35=0,"",Bilanca!H35)</f>
      </c>
      <c r="H28" s="30">
        <f t="shared" si="0"/>
        <v>709.56</v>
      </c>
      <c r="I28" s="31">
        <f t="shared" si="1"/>
        <v>0</v>
      </c>
      <c r="J28" s="31">
        <f>Bilanca!I35</f>
        <v>876</v>
      </c>
      <c r="K28" s="31">
        <f>Bilanca!J35</f>
        <v>876</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2042.1000000000001</v>
      </c>
      <c r="I31" s="31">
        <f t="shared" si="1"/>
        <v>0</v>
      </c>
      <c r="J31" s="31">
        <f>Bilanca!I38</f>
        <v>2269</v>
      </c>
      <c r="K31" s="31">
        <f>Bilanca!J38</f>
        <v>2269</v>
      </c>
    </row>
    <row r="32" spans="1:11" ht="12.75">
      <c r="A32" s="4" t="s">
        <v>1209</v>
      </c>
      <c r="B32" s="29" t="s">
        <v>1813</v>
      </c>
      <c r="D32" s="4" t="s">
        <v>1521</v>
      </c>
      <c r="E32" s="4">
        <v>1</v>
      </c>
      <c r="F32" s="4">
        <f>Bilanca!G39</f>
        <v>31</v>
      </c>
      <c r="G32" s="4">
        <f>IF(Bilanca!H39=0,"",Bilanca!H39)</f>
      </c>
      <c r="H32" s="30">
        <f t="shared" si="0"/>
        <v>23189.550000000003</v>
      </c>
      <c r="I32" s="31">
        <f t="shared" si="1"/>
        <v>0</v>
      </c>
      <c r="J32" s="31">
        <f>Bilanca!I39</f>
        <v>29163</v>
      </c>
      <c r="K32" s="31">
        <f>Bilanca!J39</f>
        <v>22821</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26181.75</v>
      </c>
      <c r="I36" s="31">
        <f t="shared" si="1"/>
        <v>0</v>
      </c>
      <c r="J36" s="31">
        <f>Bilanca!I43</f>
        <v>29163</v>
      </c>
      <c r="K36" s="31">
        <f>Bilanca!J43</f>
        <v>22821</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2970190.54</v>
      </c>
      <c r="I38" s="31">
        <f t="shared" si="1"/>
        <v>0</v>
      </c>
      <c r="J38" s="31">
        <f>Bilanca!I45</f>
        <v>2562056</v>
      </c>
      <c r="K38" s="31">
        <f>Bilanca!J45</f>
        <v>2732743</v>
      </c>
    </row>
    <row r="39" spans="1:11" ht="12.75">
      <c r="A39" s="4" t="s">
        <v>1216</v>
      </c>
      <c r="B39" s="29" t="str">
        <f>RefStr!C68</f>
        <v>VESNA CINDRIĆ</v>
      </c>
      <c r="D39" s="4" t="s">
        <v>1521</v>
      </c>
      <c r="E39" s="4">
        <v>1</v>
      </c>
      <c r="F39" s="4">
        <f>Bilanca!G46</f>
        <v>38</v>
      </c>
      <c r="G39" s="4">
        <f>IF(Bilanca!H46=0,"",Bilanca!H46)</f>
      </c>
      <c r="H39" s="30">
        <f t="shared" si="0"/>
        <v>169716.36</v>
      </c>
      <c r="I39" s="31">
        <f t="shared" si="1"/>
        <v>0</v>
      </c>
      <c r="J39" s="31">
        <f>Bilanca!I46</f>
        <v>163728</v>
      </c>
      <c r="K39" s="31">
        <f>Bilanca!J46</f>
        <v>141447</v>
      </c>
    </row>
    <row r="40" spans="1:11" ht="12.75">
      <c r="A40" s="4" t="s">
        <v>1217</v>
      </c>
      <c r="B40" s="29" t="str">
        <f>TRIM(RefStr!C70)</f>
        <v>047-532-314</v>
      </c>
      <c r="D40" s="4" t="s">
        <v>1521</v>
      </c>
      <c r="E40" s="4">
        <v>1</v>
      </c>
      <c r="F40" s="4">
        <f>Bilanca!G47</f>
        <v>39</v>
      </c>
      <c r="G40" s="4">
        <f>IF(Bilanca!H47=0,"",Bilanca!H47)</f>
      </c>
      <c r="H40" s="30">
        <f t="shared" si="0"/>
        <v>134807.40000000002</v>
      </c>
      <c r="I40" s="31">
        <f t="shared" si="1"/>
        <v>0</v>
      </c>
      <c r="J40" s="31">
        <f>Bilanca!I47</f>
        <v>126422</v>
      </c>
      <c r="K40" s="31">
        <f>Bilanca!J47</f>
        <v>109619</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vesna.cindric.skg@gamil.com</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SANJA TOMIĆ</v>
      </c>
      <c r="D43" s="4" t="s">
        <v>1521</v>
      </c>
      <c r="E43" s="4">
        <v>1</v>
      </c>
      <c r="F43" s="4">
        <f>Bilanca!G50</f>
        <v>42</v>
      </c>
      <c r="G43" s="4">
        <f>IF(Bilanca!H50=0,"",Bilanca!H50)</f>
      </c>
      <c r="H43" s="30">
        <f t="shared" si="0"/>
        <v>42404.03999999999</v>
      </c>
      <c r="I43" s="31">
        <f t="shared" si="1"/>
        <v>0</v>
      </c>
      <c r="J43" s="31">
        <f>Bilanca!I50</f>
        <v>37306</v>
      </c>
      <c r="K43" s="31">
        <f>Bilanca!J50</f>
        <v>31828</v>
      </c>
    </row>
    <row r="44" spans="1:11" ht="12.75">
      <c r="A44" s="4" t="s">
        <v>2853</v>
      </c>
      <c r="B44" s="29" t="str">
        <f>IF(RefStr!C4&lt;&gt;"",TEXT(RefStr!C4,"YYYYMMDD"),"")</f>
        <v>20180101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20181231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3141391.06</v>
      </c>
      <c r="I47" s="31">
        <f t="shared" si="3"/>
        <v>0</v>
      </c>
      <c r="J47" s="31">
        <f>Bilanca!I54</f>
        <v>2211275</v>
      </c>
      <c r="K47" s="31">
        <f>Bilanca!J54</f>
        <v>2308918</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3326459.08</v>
      </c>
      <c r="I50" s="31">
        <f t="shared" si="3"/>
        <v>0</v>
      </c>
      <c r="J50" s="31">
        <f>Bilanca!I57</f>
        <v>2187552</v>
      </c>
      <c r="K50" s="31">
        <f>Bilanca!J57</f>
        <v>2300570</v>
      </c>
    </row>
    <row r="51" spans="1:11" ht="12.75">
      <c r="A51" s="4" t="s">
        <v>288</v>
      </c>
      <c r="B51" s="29" t="str">
        <f>RefStr!I60</f>
        <v>NE</v>
      </c>
      <c r="D51" s="4" t="s">
        <v>1521</v>
      </c>
      <c r="E51" s="4">
        <v>1</v>
      </c>
      <c r="F51" s="4">
        <f>Bilanca!G58</f>
        <v>50</v>
      </c>
      <c r="G51" s="4">
        <f>IF(Bilanca!H58=0,"",Bilanca!H58)</f>
      </c>
      <c r="H51" s="30">
        <f t="shared" si="2"/>
        <v>4135</v>
      </c>
      <c r="I51" s="31">
        <f t="shared" si="3"/>
        <v>0</v>
      </c>
      <c r="J51" s="31">
        <f>Bilanca!I58</f>
        <v>8270</v>
      </c>
      <c r="K51" s="31">
        <f>Bilanca!J58</f>
        <v>0</v>
      </c>
    </row>
    <row r="52" spans="1:11" ht="12.75">
      <c r="A52" s="4" t="s">
        <v>1219</v>
      </c>
      <c r="B52" s="29" t="s">
        <v>2619</v>
      </c>
      <c r="D52" s="4" t="s">
        <v>1521</v>
      </c>
      <c r="E52" s="4">
        <v>1</v>
      </c>
      <c r="F52" s="4">
        <f>Bilanca!G59</f>
        <v>51</v>
      </c>
      <c r="G52" s="4">
        <f>IF(Bilanca!H59=0,"",Bilanca!H59)</f>
      </c>
      <c r="H52" s="30">
        <f t="shared" si="2"/>
        <v>4476.2699999999995</v>
      </c>
      <c r="I52" s="31">
        <f t="shared" si="3"/>
        <v>0</v>
      </c>
      <c r="J52" s="31">
        <f>Bilanca!I59</f>
        <v>8153</v>
      </c>
      <c r="K52" s="31">
        <f>Bilanca!J59</f>
        <v>312</v>
      </c>
    </row>
    <row r="53" spans="1:11" ht="12.75">
      <c r="A53" s="4" t="s">
        <v>532</v>
      </c>
      <c r="B53" s="29" t="str">
        <f>RefStr!I56</f>
        <v>DA</v>
      </c>
      <c r="D53" s="4" t="s">
        <v>1521</v>
      </c>
      <c r="E53" s="4">
        <v>1</v>
      </c>
      <c r="F53" s="4">
        <f>Bilanca!G60</f>
        <v>52</v>
      </c>
      <c r="G53" s="4">
        <f>IF(Bilanca!H60=0,"",Bilanca!H60)</f>
      </c>
      <c r="H53" s="30">
        <f t="shared" si="2"/>
        <v>12153.44</v>
      </c>
      <c r="I53" s="31">
        <f t="shared" si="3"/>
        <v>0</v>
      </c>
      <c r="J53" s="31">
        <f>Bilanca!I60</f>
        <v>7300</v>
      </c>
      <c r="K53" s="31">
        <f>Bilanca!J60</f>
        <v>8036</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582364621.63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473639.67000000004</v>
      </c>
      <c r="I64" s="31">
        <f t="shared" si="3"/>
        <v>0</v>
      </c>
      <c r="J64" s="31">
        <f>Bilanca!I71</f>
        <v>187053</v>
      </c>
      <c r="K64" s="31">
        <f>Bilanca!J71</f>
        <v>282378</v>
      </c>
    </row>
    <row r="65" spans="1:11" ht="12.75">
      <c r="A65" s="4" t="s">
        <v>687</v>
      </c>
      <c r="B65" s="29" t="str">
        <f>RefStr!N19</f>
        <v>HSFI</v>
      </c>
      <c r="D65" s="4" t="s">
        <v>1521</v>
      </c>
      <c r="E65" s="4">
        <v>1</v>
      </c>
      <c r="F65" s="4">
        <f>Bilanca!G72</f>
        <v>64</v>
      </c>
      <c r="G65" s="4">
        <f>IF(Bilanca!H72=0,"",Bilanca!H72)</f>
      </c>
      <c r="H65" s="30">
        <f t="shared" si="2"/>
        <v>25911.04</v>
      </c>
      <c r="I65" s="31">
        <f t="shared" si="3"/>
        <v>0</v>
      </c>
      <c r="J65" s="31">
        <f>Bilanca!I72</f>
        <v>0</v>
      </c>
      <c r="K65" s="31">
        <f>Bilanca!J72</f>
        <v>20243</v>
      </c>
    </row>
    <row r="66" spans="1:11" ht="12.75">
      <c r="A66" s="4" t="s">
        <v>688</v>
      </c>
      <c r="B66" s="29">
        <f>RefStr!C23</f>
        <v>1</v>
      </c>
      <c r="D66" s="4" t="s">
        <v>1521</v>
      </c>
      <c r="E66" s="4">
        <v>1</v>
      </c>
      <c r="F66" s="4">
        <f>Bilanca!G73</f>
        <v>65</v>
      </c>
      <c r="G66" s="4">
        <f>IF(Bilanca!H73=0,"",Bilanca!H73)</f>
      </c>
      <c r="H66" s="30">
        <f t="shared" si="2"/>
        <v>10695677.2</v>
      </c>
      <c r="I66" s="31">
        <f t="shared" si="3"/>
        <v>0</v>
      </c>
      <c r="J66" s="31">
        <f>Bilanca!I73</f>
        <v>5506708</v>
      </c>
      <c r="K66" s="31">
        <f>Bilanca!J73</f>
        <v>5474090</v>
      </c>
    </row>
    <row r="67" spans="1:11" ht="12.75">
      <c r="A67" s="4" t="s">
        <v>689</v>
      </c>
      <c r="B67" s="29" t="str">
        <f>RefStr!L35</f>
        <v>047/532-314</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6627140.18</v>
      </c>
      <c r="I68" s="31">
        <f t="shared" si="3"/>
        <v>0</v>
      </c>
      <c r="J68" s="31">
        <f>Bilanca!I76</f>
        <v>3133068</v>
      </c>
      <c r="K68" s="31">
        <f>Bilanca!J76</f>
        <v>3379093</v>
      </c>
    </row>
    <row r="69" spans="1:11" ht="12.75">
      <c r="A69" s="4" t="s">
        <v>691</v>
      </c>
      <c r="B69" s="29">
        <f>RefStr!M46</f>
        <v>0</v>
      </c>
      <c r="D69" s="4" t="s">
        <v>1521</v>
      </c>
      <c r="E69" s="4">
        <v>1</v>
      </c>
      <c r="F69" s="4">
        <f>Bilanca!G77</f>
        <v>68</v>
      </c>
      <c r="G69" s="4">
        <f>IF(Bilanca!H77=0,"",Bilanca!H77)</f>
      </c>
      <c r="H69" s="30">
        <f t="shared" si="2"/>
        <v>1310904</v>
      </c>
      <c r="I69" s="31">
        <f t="shared" si="3"/>
        <v>0</v>
      </c>
      <c r="J69" s="31">
        <f>Bilanca!I77</f>
        <v>642600</v>
      </c>
      <c r="K69" s="31">
        <f>Bilanca!J77</f>
        <v>642600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170.10000000000002</v>
      </c>
      <c r="I71" s="31">
        <f t="shared" si="3"/>
        <v>0</v>
      </c>
      <c r="J71" s="31">
        <f>Bilanca!I79</f>
        <v>81</v>
      </c>
      <c r="K71" s="31">
        <f>Bilanca!J79</f>
        <v>81</v>
      </c>
    </row>
    <row r="72" spans="4:11" ht="12.75">
      <c r="D72" s="4" t="s">
        <v>1521</v>
      </c>
      <c r="E72" s="4">
        <v>1</v>
      </c>
      <c r="F72" s="4">
        <f>Bilanca!G80</f>
        <v>71</v>
      </c>
      <c r="G72" s="4">
        <f>IF(Bilanca!H80=0,"",Bilanca!H80)</f>
      </c>
      <c r="H72" s="30">
        <f t="shared" si="2"/>
        <v>172.53000000000003</v>
      </c>
      <c r="I72" s="31">
        <f t="shared" si="3"/>
        <v>0</v>
      </c>
      <c r="J72" s="31">
        <f>Bilanca!I80</f>
        <v>81</v>
      </c>
      <c r="K72" s="31">
        <f>Bilanca!J80</f>
        <v>81</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2404196.16</v>
      </c>
      <c r="I77" s="31">
        <f t="shared" si="3"/>
        <v>0</v>
      </c>
      <c r="J77" s="31">
        <f>Bilanca!I85</f>
        <v>1054472</v>
      </c>
      <c r="K77" s="31">
        <f>Bilanca!J85</f>
        <v>1054472</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3404343.33</v>
      </c>
      <c r="I82" s="31">
        <f t="shared" si="3"/>
        <v>0</v>
      </c>
      <c r="J82" s="31">
        <f>Bilanca!I90</f>
        <v>1331063</v>
      </c>
      <c r="K82" s="31">
        <f>Bilanca!J90</f>
        <v>1435915</v>
      </c>
    </row>
    <row r="83" spans="4:11" ht="12.75">
      <c r="D83" s="4" t="s">
        <v>1521</v>
      </c>
      <c r="E83" s="4">
        <v>1</v>
      </c>
      <c r="F83" s="4">
        <f>Bilanca!G91</f>
        <v>82</v>
      </c>
      <c r="G83" s="4">
        <f>IF(Bilanca!H91=0,"",Bilanca!H91)</f>
      </c>
      <c r="H83" s="30">
        <f t="shared" si="2"/>
        <v>3446372.26</v>
      </c>
      <c r="I83" s="31">
        <f t="shared" si="3"/>
        <v>0</v>
      </c>
      <c r="J83" s="31">
        <f>Bilanca!I91</f>
        <v>1331063</v>
      </c>
      <c r="K83" s="31">
        <f>Bilanca!J91</f>
        <v>1435915</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501397.68</v>
      </c>
      <c r="I85" s="31">
        <f>ABS(ROUND(J85,0)-J85)+ABS(ROUND(K85,0)-K85)</f>
        <v>0</v>
      </c>
      <c r="J85" s="31">
        <f>Bilanca!I93</f>
        <v>104852</v>
      </c>
      <c r="K85" s="31">
        <f>Bilanca!J93</f>
        <v>246025</v>
      </c>
    </row>
    <row r="86" spans="4:11" ht="12.75">
      <c r="D86" s="4" t="s">
        <v>1521</v>
      </c>
      <c r="E86" s="4">
        <v>1</v>
      </c>
      <c r="F86" s="4">
        <f>Bilanca!G94</f>
        <v>85</v>
      </c>
      <c r="G86" s="4">
        <f>IF(Bilanca!H94=0,"",Bilanca!H94)</f>
      </c>
      <c r="H86" s="30">
        <f>J86/100*F86+2*K86/100*F86</f>
        <v>507366.7</v>
      </c>
      <c r="I86" s="31">
        <f>ABS(ROUND(J86,0)-J86)+ABS(ROUND(K86,0)-K86)</f>
        <v>0</v>
      </c>
      <c r="J86" s="31">
        <f>Bilanca!I94</f>
        <v>104852</v>
      </c>
      <c r="K86" s="31">
        <f>Bilanca!J94</f>
        <v>246025</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1520400.9</v>
      </c>
      <c r="I96" s="31">
        <f t="shared" si="5"/>
        <v>0</v>
      </c>
      <c r="J96" s="31">
        <f>Bilanca!I104</f>
        <v>842932</v>
      </c>
      <c r="K96" s="31">
        <f>Bilanca!J104</f>
        <v>378745</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1533997.09</v>
      </c>
      <c r="I102" s="31">
        <f t="shared" si="5"/>
        <v>0</v>
      </c>
      <c r="J102" s="31">
        <f>Bilanca!I110</f>
        <v>811499</v>
      </c>
      <c r="K102" s="31">
        <f>Bilanca!J110</f>
        <v>353655</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85693.65</v>
      </c>
      <c r="I106" s="31">
        <f t="shared" si="5"/>
        <v>0</v>
      </c>
      <c r="J106" s="31">
        <f>Bilanca!I114</f>
        <v>31433</v>
      </c>
      <c r="K106" s="31">
        <f>Bilanca!J114</f>
        <v>25090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4864424.37</v>
      </c>
      <c r="I108" s="31">
        <f t="shared" si="5"/>
        <v>0</v>
      </c>
      <c r="J108" s="31">
        <f>Bilanca!I116</f>
        <v>1391701</v>
      </c>
      <c r="K108" s="31">
        <f>Bilanca!J116</f>
        <v>1577245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3412958.5</v>
      </c>
      <c r="I116" s="31">
        <f t="shared" si="5"/>
        <v>0</v>
      </c>
      <c r="J116" s="31">
        <f>Bilanca!I124</f>
        <v>863214</v>
      </c>
      <c r="K116" s="31">
        <f>Bilanca!J124</f>
        <v>1052288</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842579.01</v>
      </c>
      <c r="I118" s="31">
        <f t="shared" si="5"/>
        <v>0</v>
      </c>
      <c r="J118" s="31">
        <f>Bilanca!I126</f>
        <v>227761</v>
      </c>
      <c r="K118" s="31">
        <f>Bilanca!J126</f>
        <v>246196</v>
      </c>
    </row>
    <row r="119" spans="4:11" ht="12.75">
      <c r="D119" s="4" t="s">
        <v>1521</v>
      </c>
      <c r="E119" s="4">
        <v>1</v>
      </c>
      <c r="F119" s="4">
        <f>Bilanca!G127</f>
        <v>118</v>
      </c>
      <c r="G119" s="4">
        <f>IF(Bilanca!H127=0,"",Bilanca!H127)</f>
      </c>
      <c r="H119" s="30">
        <f t="shared" si="4"/>
        <v>952307.2</v>
      </c>
      <c r="I119" s="31">
        <f t="shared" si="5"/>
        <v>0</v>
      </c>
      <c r="J119" s="31">
        <f>Bilanca!I127</f>
        <v>281372</v>
      </c>
      <c r="K119" s="31">
        <f>Bilanca!J127</f>
        <v>262834</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61961.68000000001</v>
      </c>
      <c r="I122" s="31">
        <f t="shared" si="5"/>
        <v>0</v>
      </c>
      <c r="J122" s="31">
        <f>Bilanca!I130</f>
        <v>19354</v>
      </c>
      <c r="K122" s="31">
        <f>Bilanca!J130</f>
        <v>15927</v>
      </c>
    </row>
    <row r="123" spans="4:11" ht="12.75">
      <c r="D123" s="4" t="s">
        <v>1521</v>
      </c>
      <c r="E123" s="4">
        <v>1</v>
      </c>
      <c r="F123" s="4">
        <f>Bilanca!G131</f>
        <v>122</v>
      </c>
      <c r="G123" s="4">
        <f>IF(Bilanca!H131=0,"",Bilanca!H131)</f>
      </c>
      <c r="H123" s="30">
        <f t="shared" si="4"/>
        <v>508765.61999999994</v>
      </c>
      <c r="I123" s="31">
        <f t="shared" si="5"/>
        <v>0</v>
      </c>
      <c r="J123" s="31">
        <f>Bilanca!I131</f>
        <v>139007</v>
      </c>
      <c r="K123" s="31">
        <f>Bilanca!J131</f>
        <v>139007</v>
      </c>
    </row>
    <row r="124" spans="4:11" ht="12.75">
      <c r="D124" s="4" t="s">
        <v>1521</v>
      </c>
      <c r="E124" s="4">
        <v>1</v>
      </c>
      <c r="F124" s="4">
        <f>Bilanca!G132</f>
        <v>123</v>
      </c>
      <c r="G124" s="4">
        <f>IF(Bilanca!H132=0,"",Bilanca!H132)</f>
      </c>
      <c r="H124" s="30">
        <f t="shared" si="4"/>
        <v>20239512.240000002</v>
      </c>
      <c r="I124" s="31">
        <f t="shared" si="5"/>
        <v>0</v>
      </c>
      <c r="J124" s="31">
        <f>Bilanca!I132</f>
        <v>5506708</v>
      </c>
      <c r="K124" s="31">
        <f>Bilanca!J132</f>
        <v>5474090</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30736505</v>
      </c>
      <c r="I126" s="4">
        <f t="shared" si="5"/>
        <v>0</v>
      </c>
      <c r="J126" s="31">
        <f>RDG!I8</f>
        <v>7521726</v>
      </c>
      <c r="K126" s="31">
        <f>RDG!J8</f>
        <v>8533739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29707335.81</v>
      </c>
      <c r="I128" s="4">
        <f aca="true" t="shared" si="7" ref="I128:I190">ABS(ROUND(J128,0)-J128)+ABS(ROUND(K128,0)-K128)</f>
        <v>0</v>
      </c>
      <c r="J128" s="31">
        <f>RDG!I10</f>
        <v>7335943</v>
      </c>
      <c r="K128" s="31">
        <f>RDG!J10</f>
        <v>8027830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1556881.3</v>
      </c>
      <c r="I131" s="4">
        <f t="shared" si="7"/>
        <v>0</v>
      </c>
      <c r="J131" s="31">
        <f>RDG!I13</f>
        <v>185783</v>
      </c>
      <c r="K131" s="31">
        <f>RDG!J13</f>
        <v>505909</v>
      </c>
    </row>
    <row r="132" spans="4:11" ht="12.75">
      <c r="D132" s="4" t="s">
        <v>541</v>
      </c>
      <c r="E132" s="4">
        <v>2</v>
      </c>
      <c r="F132" s="4">
        <f>RDG!G14</f>
        <v>131</v>
      </c>
      <c r="G132" s="4">
        <f>IF(RDG!H14=0,"",RDG!H14)</f>
      </c>
      <c r="H132" s="30">
        <f t="shared" si="6"/>
        <v>31189432.37</v>
      </c>
      <c r="I132" s="4">
        <f t="shared" si="7"/>
        <v>0</v>
      </c>
      <c r="J132" s="31">
        <f>RDG!I14</f>
        <v>7375983</v>
      </c>
      <c r="K132" s="31">
        <f>RDG!J14</f>
        <v>8216372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8300589.85</v>
      </c>
      <c r="I134" s="4">
        <f t="shared" si="7"/>
        <v>0</v>
      </c>
      <c r="J134" s="31">
        <f>RDG!I16</f>
        <v>1702271</v>
      </c>
      <c r="K134" s="31">
        <f>RDG!J16</f>
        <v>2269387</v>
      </c>
    </row>
    <row r="135" spans="4:11" ht="12.75">
      <c r="D135" s="4" t="s">
        <v>541</v>
      </c>
      <c r="E135" s="4">
        <v>2</v>
      </c>
      <c r="F135" s="4">
        <f>RDG!G17</f>
        <v>134</v>
      </c>
      <c r="G135" s="4">
        <f>IF(RDG!H17=0,"",RDG!H17)</f>
      </c>
      <c r="H135" s="30">
        <f t="shared" si="6"/>
        <v>4771915.54</v>
      </c>
      <c r="I135" s="4">
        <f t="shared" si="7"/>
        <v>0</v>
      </c>
      <c r="J135" s="31">
        <f>RDG!I17</f>
        <v>959203</v>
      </c>
      <c r="K135" s="31">
        <f>RDG!J17</f>
        <v>1300964</v>
      </c>
    </row>
    <row r="136" spans="4:11" ht="12.75">
      <c r="D136" s="4" t="s">
        <v>541</v>
      </c>
      <c r="E136" s="4">
        <v>2</v>
      </c>
      <c r="F136" s="4">
        <f>RDG!G18</f>
        <v>135</v>
      </c>
      <c r="G136" s="4">
        <f>IF(RDG!H18=0,"",RDG!H18)</f>
      </c>
      <c r="H136" s="30">
        <f t="shared" si="6"/>
        <v>591051.6</v>
      </c>
      <c r="I136" s="4">
        <f t="shared" si="7"/>
        <v>0</v>
      </c>
      <c r="J136" s="31">
        <f>RDG!I18</f>
        <v>140958</v>
      </c>
      <c r="K136" s="31">
        <f>RDG!J18</f>
        <v>148429</v>
      </c>
    </row>
    <row r="137" spans="4:11" ht="12.75">
      <c r="D137" s="4" t="s">
        <v>541</v>
      </c>
      <c r="E137" s="4">
        <v>2</v>
      </c>
      <c r="F137" s="4">
        <f>RDG!G19</f>
        <v>136</v>
      </c>
      <c r="G137" s="4">
        <f>IF(RDG!H19=0,"",RDG!H19)</f>
      </c>
      <c r="H137" s="30">
        <f t="shared" si="6"/>
        <v>3049253.2800000003</v>
      </c>
      <c r="I137" s="4">
        <f t="shared" si="7"/>
        <v>0</v>
      </c>
      <c r="J137" s="31">
        <f>RDG!I19</f>
        <v>602110</v>
      </c>
      <c r="K137" s="31">
        <f>RDG!J19</f>
        <v>819994</v>
      </c>
    </row>
    <row r="138" spans="4:11" ht="12.75">
      <c r="D138" s="4" t="s">
        <v>541</v>
      </c>
      <c r="E138" s="4">
        <v>2</v>
      </c>
      <c r="F138" s="4">
        <f>RDG!G20</f>
        <v>137</v>
      </c>
      <c r="G138" s="4">
        <f>IF(RDG!H20=0,"",RDG!H20)</f>
      </c>
      <c r="H138" s="30">
        <f t="shared" si="6"/>
        <v>17649605.88</v>
      </c>
      <c r="I138" s="4">
        <f t="shared" si="7"/>
        <v>0</v>
      </c>
      <c r="J138" s="31">
        <f>RDG!I20</f>
        <v>4173256</v>
      </c>
      <c r="K138" s="31">
        <f>RDG!J20</f>
        <v>4354834</v>
      </c>
    </row>
    <row r="139" spans="4:11" ht="12.75">
      <c r="D139" s="4" t="s">
        <v>541</v>
      </c>
      <c r="E139" s="4">
        <v>2</v>
      </c>
      <c r="F139" s="4">
        <f>RDG!G21</f>
        <v>138</v>
      </c>
      <c r="G139" s="4">
        <f>IF(RDG!H21=0,"",RDG!H21)</f>
      </c>
      <c r="H139" s="30">
        <f t="shared" si="6"/>
        <v>11576015.46</v>
      </c>
      <c r="I139" s="4">
        <f t="shared" si="7"/>
        <v>0</v>
      </c>
      <c r="J139" s="31">
        <f>RDG!I21</f>
        <v>2719641</v>
      </c>
      <c r="K139" s="31">
        <f>RDG!J21</f>
        <v>2834388</v>
      </c>
    </row>
    <row r="140" spans="4:11" ht="12.75">
      <c r="D140" s="4" t="s">
        <v>541</v>
      </c>
      <c r="E140" s="4">
        <v>2</v>
      </c>
      <c r="F140" s="4">
        <f>RDG!G22</f>
        <v>139</v>
      </c>
      <c r="G140" s="4">
        <f>IF(RDG!H22=0,"",RDG!H22)</f>
      </c>
      <c r="H140" s="30">
        <f t="shared" si="6"/>
        <v>3619273.66</v>
      </c>
      <c r="I140" s="4">
        <f t="shared" si="7"/>
        <v>0</v>
      </c>
      <c r="J140" s="31">
        <f>RDG!I22</f>
        <v>841112</v>
      </c>
      <c r="K140" s="31">
        <f>RDG!J22</f>
        <v>881341</v>
      </c>
    </row>
    <row r="141" spans="4:11" ht="12.75">
      <c r="D141" s="4" t="s">
        <v>541</v>
      </c>
      <c r="E141" s="4">
        <v>2</v>
      </c>
      <c r="F141" s="4">
        <f>RDG!G23</f>
        <v>140</v>
      </c>
      <c r="G141" s="4">
        <f>IF(RDG!H23=0,"",RDG!H23)</f>
      </c>
      <c r="H141" s="30">
        <f t="shared" si="6"/>
        <v>2646998.2</v>
      </c>
      <c r="I141" s="4">
        <f t="shared" si="7"/>
        <v>0</v>
      </c>
      <c r="J141" s="31">
        <f>RDG!I23</f>
        <v>612503</v>
      </c>
      <c r="K141" s="31">
        <f>RDG!J23</f>
        <v>639105</v>
      </c>
    </row>
    <row r="142" spans="4:11" ht="12.75">
      <c r="D142" s="4" t="s">
        <v>541</v>
      </c>
      <c r="E142" s="4">
        <v>2</v>
      </c>
      <c r="F142" s="4">
        <f>RDG!G24</f>
        <v>141</v>
      </c>
      <c r="G142" s="4">
        <f>IF(RDG!H24=0,"",RDG!H24)</f>
      </c>
      <c r="H142" s="30">
        <f t="shared" si="6"/>
        <v>1644332.13</v>
      </c>
      <c r="I142" s="4">
        <f t="shared" si="7"/>
        <v>0</v>
      </c>
      <c r="J142" s="31">
        <f>RDG!I24</f>
        <v>389117</v>
      </c>
      <c r="K142" s="31">
        <f>RDG!J24</f>
        <v>388538</v>
      </c>
    </row>
    <row r="143" spans="4:11" ht="12.75">
      <c r="D143" s="4" t="s">
        <v>541</v>
      </c>
      <c r="E143" s="4">
        <v>2</v>
      </c>
      <c r="F143" s="4">
        <f>RDG!G25</f>
        <v>142</v>
      </c>
      <c r="G143" s="4">
        <f>IF(RDG!H25=0,"",RDG!H25)</f>
      </c>
      <c r="H143" s="30">
        <f t="shared" si="6"/>
        <v>4206626.46</v>
      </c>
      <c r="I143" s="4">
        <f t="shared" si="7"/>
        <v>0</v>
      </c>
      <c r="J143" s="31">
        <f>RDG!I25</f>
        <v>928993</v>
      </c>
      <c r="K143" s="31">
        <f>RDG!J25</f>
        <v>1016710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850912.5599999999</v>
      </c>
      <c r="I154" s="4">
        <f t="shared" si="7"/>
        <v>0</v>
      </c>
      <c r="J154" s="31">
        <f>RDG!I36</f>
        <v>182346</v>
      </c>
      <c r="K154" s="31">
        <f>RDG!J36</f>
        <v>186903</v>
      </c>
    </row>
    <row r="155" spans="4:11" ht="12.75">
      <c r="D155" s="4" t="s">
        <v>541</v>
      </c>
      <c r="E155" s="4">
        <v>2</v>
      </c>
      <c r="F155" s="4">
        <f>RDG!G37</f>
        <v>154</v>
      </c>
      <c r="G155" s="4">
        <f>IF(RDG!H37=0,"",RDG!H37)</f>
      </c>
      <c r="H155" s="30">
        <f t="shared" si="6"/>
        <v>141316.56</v>
      </c>
      <c r="I155" s="4">
        <f t="shared" si="7"/>
        <v>0</v>
      </c>
      <c r="J155" s="31">
        <f>RDG!I37</f>
        <v>28984</v>
      </c>
      <c r="K155" s="31">
        <f>RDG!J37</f>
        <v>31390</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58850.33</v>
      </c>
      <c r="I162" s="4">
        <f t="shared" si="7"/>
        <v>0</v>
      </c>
      <c r="J162" s="31">
        <f>RDG!I44</f>
        <v>11803</v>
      </c>
      <c r="K162" s="31">
        <f>RDG!J44</f>
        <v>12375</v>
      </c>
    </row>
    <row r="163" spans="4:11" ht="12.75">
      <c r="D163" s="4" t="s">
        <v>541</v>
      </c>
      <c r="E163" s="4">
        <v>2</v>
      </c>
      <c r="F163" s="4">
        <f>RDG!G45</f>
        <v>162</v>
      </c>
      <c r="G163" s="4">
        <f>IF(RDG!H45=0,"",RDG!H45)</f>
      </c>
      <c r="H163" s="30">
        <f t="shared" si="6"/>
        <v>89441.82</v>
      </c>
      <c r="I163" s="4">
        <f t="shared" si="7"/>
        <v>0</v>
      </c>
      <c r="J163" s="31">
        <f>RDG!I45</f>
        <v>17181</v>
      </c>
      <c r="K163" s="31">
        <f>RDG!J45</f>
        <v>19015</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133135.2</v>
      </c>
      <c r="I166" s="4">
        <f t="shared" si="7"/>
        <v>0</v>
      </c>
      <c r="J166" s="31">
        <f>RDG!I48</f>
        <v>35910</v>
      </c>
      <c r="K166" s="31">
        <f>RDG!J48</f>
        <v>22389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135555.84</v>
      </c>
      <c r="I169" s="4">
        <f t="shared" si="7"/>
        <v>0</v>
      </c>
      <c r="J169" s="31">
        <f>RDG!I51</f>
        <v>35910</v>
      </c>
      <c r="K169" s="31">
        <f>RDG!J51</f>
        <v>22389</v>
      </c>
    </row>
    <row r="170" spans="4:11" ht="12.75">
      <c r="D170" s="4" t="s">
        <v>541</v>
      </c>
      <c r="E170" s="4">
        <v>2</v>
      </c>
      <c r="F170" s="4">
        <f>RDG!G52</f>
        <v>169</v>
      </c>
      <c r="G170" s="4">
        <f>IF(RDG!H52=0,"",RDG!H52)</f>
      </c>
      <c r="H170" s="30">
        <f t="shared" si="6"/>
        <v>0</v>
      </c>
      <c r="I170" s="4">
        <f t="shared" si="7"/>
        <v>0</v>
      </c>
      <c r="J170" s="31">
        <f>RDG!I52</f>
        <v>0</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43685313.36</v>
      </c>
      <c r="I178" s="4">
        <f t="shared" si="7"/>
        <v>0</v>
      </c>
      <c r="J178" s="31">
        <f>RDG!I60</f>
        <v>7550710</v>
      </c>
      <c r="K178" s="31">
        <f>RDG!J60</f>
        <v>8565129</v>
      </c>
    </row>
    <row r="179" spans="4:11" ht="12.75">
      <c r="D179" s="4" t="s">
        <v>541</v>
      </c>
      <c r="E179" s="4">
        <v>2</v>
      </c>
      <c r="F179" s="4">
        <f>RDG!G61</f>
        <v>178</v>
      </c>
      <c r="G179" s="4">
        <f>IF(RDG!H61=0,"",RDG!H61)</f>
      </c>
      <c r="H179" s="30">
        <f t="shared" si="6"/>
        <v>42523158.7</v>
      </c>
      <c r="I179" s="4">
        <f t="shared" si="7"/>
        <v>0</v>
      </c>
      <c r="J179" s="31">
        <f>RDG!I61</f>
        <v>7411893</v>
      </c>
      <c r="K179" s="31">
        <f>RDG!J61</f>
        <v>8238761</v>
      </c>
    </row>
    <row r="180" spans="4:11" ht="12.75">
      <c r="D180" s="4" t="s">
        <v>541</v>
      </c>
      <c r="E180" s="4">
        <v>2</v>
      </c>
      <c r="F180" s="4">
        <f>RDG!G62</f>
        <v>179</v>
      </c>
      <c r="G180" s="4">
        <f>IF(RDG!H62=0,"",RDG!H62)</f>
      </c>
      <c r="H180" s="30">
        <f t="shared" si="6"/>
        <v>1416879.8699999999</v>
      </c>
      <c r="I180" s="4">
        <f t="shared" si="7"/>
        <v>0</v>
      </c>
      <c r="J180" s="31">
        <f>RDG!I62</f>
        <v>138817</v>
      </c>
      <c r="K180" s="31">
        <f>RDG!J62</f>
        <v>326368</v>
      </c>
    </row>
    <row r="181" spans="4:11" ht="12.75">
      <c r="D181" s="4" t="s">
        <v>541</v>
      </c>
      <c r="E181" s="4">
        <v>2</v>
      </c>
      <c r="F181" s="4">
        <f>RDG!G63</f>
        <v>180</v>
      </c>
      <c r="G181" s="4">
        <f>IF(RDG!H63=0,"",RDG!H63)</f>
      </c>
      <c r="H181" s="30">
        <f t="shared" si="6"/>
        <v>1424795.4000000001</v>
      </c>
      <c r="I181" s="4">
        <f t="shared" si="7"/>
        <v>0</v>
      </c>
      <c r="J181" s="31">
        <f>RDG!I63</f>
        <v>138817</v>
      </c>
      <c r="K181" s="31">
        <f>RDG!J63</f>
        <v>326368</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354264.81999999995</v>
      </c>
      <c r="I183" s="4">
        <f t="shared" si="7"/>
        <v>0</v>
      </c>
      <c r="J183" s="31">
        <f>RDG!I65</f>
        <v>33965</v>
      </c>
      <c r="K183" s="31">
        <f>RDG!J65</f>
        <v>80343</v>
      </c>
    </row>
    <row r="184" spans="4:11" ht="12.75">
      <c r="D184" s="4" t="s">
        <v>541</v>
      </c>
      <c r="E184" s="4">
        <v>2</v>
      </c>
      <c r="F184" s="4">
        <f>RDG!G66</f>
        <v>183</v>
      </c>
      <c r="G184" s="4">
        <f>IF(RDG!H66=0,"",RDG!H66)</f>
      </c>
      <c r="H184" s="30">
        <f t="shared" si="6"/>
        <v>1092330.66</v>
      </c>
      <c r="I184" s="4">
        <f t="shared" si="7"/>
        <v>0</v>
      </c>
      <c r="J184" s="31">
        <f>RDG!I66</f>
        <v>104852</v>
      </c>
      <c r="K184" s="31">
        <f>RDG!J66</f>
        <v>246025</v>
      </c>
    </row>
    <row r="185" spans="4:11" ht="12.75">
      <c r="D185" s="4" t="s">
        <v>541</v>
      </c>
      <c r="E185" s="4">
        <v>2</v>
      </c>
      <c r="F185" s="4">
        <f>RDG!G67</f>
        <v>184</v>
      </c>
      <c r="G185" s="4">
        <f>IF(RDG!H67=0,"",RDG!H67)</f>
      </c>
      <c r="H185" s="30">
        <f t="shared" si="6"/>
        <v>1098299.68</v>
      </c>
      <c r="I185" s="4">
        <f t="shared" si="7"/>
        <v>0</v>
      </c>
      <c r="J185" s="31">
        <f>RDG!I67</f>
        <v>104852</v>
      </c>
      <c r="K185" s="31">
        <f>RDG!J67</f>
        <v>246025</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STAMBENO KOMUNALNO GOSPODARSTVO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47300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26211106548</v>
      </c>
      <c r="V4" s="211" t="s">
        <v>2356</v>
      </c>
      <c r="W4" s="232" t="str">
        <f>RefStr!F31</f>
        <v>OGULIN</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03200426</v>
      </c>
      <c r="V5" s="211" t="s">
        <v>2357</v>
      </c>
      <c r="W5" s="232" t="str">
        <f>RefStr!C33</f>
        <v>IVANA GORANA KOVAČIĆA 8</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020032462</v>
      </c>
      <c r="V6" s="211" t="s">
        <v>2568</v>
      </c>
      <c r="W6" s="232" t="str">
        <f>RefStr!L35</f>
        <v>047/532-314</v>
      </c>
      <c r="X6" s="211" t="s">
        <v>2514</v>
      </c>
      <c r="Y6" s="232" t="str">
        <f>RefStr!C68</f>
        <v>VESNA CINDRIĆ</v>
      </c>
      <c r="Z6" s="211" t="s">
        <v>1415</v>
      </c>
      <c r="AA6" s="232">
        <f>RefStr!C46</f>
        <v>0</v>
      </c>
    </row>
    <row r="7" spans="1:27" ht="13.5" customHeight="1">
      <c r="A7" s="496"/>
      <c r="B7" s="497"/>
      <c r="C7" s="497"/>
      <c r="D7" s="497"/>
      <c r="E7" s="497"/>
      <c r="F7" s="497"/>
      <c r="G7" s="497"/>
      <c r="H7" s="497"/>
      <c r="I7" s="222" t="s">
        <v>16</v>
      </c>
      <c r="J7" s="224">
        <f>SUM(M12:M120)</f>
        <v>0</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SKG.OGULIN@GMAIL.COM</v>
      </c>
      <c r="X7" s="211" t="s">
        <v>2515</v>
      </c>
      <c r="Y7" s="232" t="str">
        <f>RefStr!C70</f>
        <v>047-532-314</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43101</v>
      </c>
      <c r="T8" s="211" t="s">
        <v>1861</v>
      </c>
      <c r="U8" s="232" t="str">
        <f>RefStr!D7</f>
        <v>Društvo s ograničenom odgovornošću</v>
      </c>
      <c r="V8" s="211" t="s">
        <v>2574</v>
      </c>
      <c r="W8" s="232" t="str">
        <f>RefStr!C42</f>
        <v>4110</v>
      </c>
      <c r="X8" s="211" t="s">
        <v>2516</v>
      </c>
      <c r="Y8" s="232" t="str">
        <f>TRIM(UPPER(RefStr!C72))</f>
        <v>VESNA.CINDRIC.SKG@GAMIL.COM</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49</v>
      </c>
      <c r="Q9" s="231">
        <f>RefStr!F58</f>
        <v>50</v>
      </c>
      <c r="R9" s="211" t="s">
        <v>1860</v>
      </c>
      <c r="S9" s="232">
        <f>IF(RefStr!F4&lt;&gt;"",RefStr!F4,0)</f>
        <v>43465</v>
      </c>
      <c r="T9" s="211" t="s">
        <v>1821</v>
      </c>
      <c r="U9" s="232">
        <f>RefStr!C39</f>
        <v>297</v>
      </c>
      <c r="V9" s="211" t="s">
        <v>1414</v>
      </c>
      <c r="W9" s="232" t="str">
        <f>RefStr!D42</f>
        <v>Organizacija izvedbe projekata za zgrade</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50</v>
      </c>
      <c r="Q10" s="233">
        <f>RefStr!F56</f>
        <v>53</v>
      </c>
      <c r="R10" s="213" t="s">
        <v>1863</v>
      </c>
      <c r="S10" s="233">
        <f>RefStr!C23</f>
        <v>1</v>
      </c>
      <c r="T10" s="213" t="s">
        <v>2573</v>
      </c>
      <c r="U10" s="233" t="str">
        <f>RefStr!D39</f>
        <v>Ogulin</v>
      </c>
      <c r="V10" s="240"/>
      <c r="W10" s="241"/>
      <c r="X10" s="242" t="s">
        <v>1974</v>
      </c>
      <c r="Y10" s="243">
        <f>RefStr!F12</f>
        <v>2018</v>
      </c>
      <c r="Z10" s="213" t="s">
        <v>209</v>
      </c>
      <c r="AA10" s="233" t="str">
        <f>RefStr!A75</f>
        <v>SANJA TOMIĆ</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C:\Users\Maja\Desktop\[GFI_POD 2018.g..xls-JAVNA OBJAVA.xls]RefStr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2018</v>
      </c>
    </row>
    <row r="2" spans="1:17" s="148" customFormat="1" ht="60" customHeight="1">
      <c r="A2" s="292" t="s">
        <v>1057</v>
      </c>
      <c r="B2" s="293"/>
      <c r="C2" s="293"/>
      <c r="D2" s="293"/>
      <c r="E2" s="293"/>
      <c r="F2" s="293"/>
      <c r="G2" s="293"/>
      <c r="H2" s="293"/>
      <c r="I2" s="293"/>
      <c r="J2" s="293"/>
      <c r="K2" s="293"/>
      <c r="L2" s="293"/>
      <c r="M2" s="293"/>
      <c r="N2" s="294"/>
      <c r="O2" s="3"/>
      <c r="P2" s="54"/>
      <c r="Q2" s="53">
        <f>IF(F4&lt;&gt;"",YEAR(F4),"")</f>
        <v>2018</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43101</v>
      </c>
      <c r="D4" s="288"/>
      <c r="E4" s="10" t="s">
        <v>1527</v>
      </c>
      <c r="F4" s="287">
        <v>43465</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21.68</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57.18</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2018</v>
      </c>
      <c r="G12" s="330"/>
      <c r="H12" s="322" t="s">
        <v>2105</v>
      </c>
      <c r="I12" s="323"/>
      <c r="J12" s="323"/>
      <c r="K12" s="156"/>
      <c r="L12" s="156"/>
      <c r="M12" s="156"/>
      <c r="N12" s="156"/>
      <c r="P12" s="54" t="s">
        <v>2353</v>
      </c>
      <c r="Q12" s="55">
        <f>INT(VALUE(H27))/10</f>
        <v>320042.6</v>
      </c>
    </row>
    <row r="13" spans="4:17" ht="9.75" customHeight="1">
      <c r="D13" s="156"/>
      <c r="E13" s="162"/>
      <c r="H13" s="27"/>
      <c r="I13" s="163"/>
      <c r="J13" s="163"/>
      <c r="K13" s="156"/>
      <c r="L13" s="156"/>
      <c r="M13" s="156"/>
      <c r="N13" s="156"/>
      <c r="P13" s="54" t="s">
        <v>2353</v>
      </c>
      <c r="Q13" s="55">
        <f>INT(VALUE(M27))/50</f>
        <v>400649.24</v>
      </c>
    </row>
    <row r="14" spans="1:17" ht="15">
      <c r="A14" s="321" t="s">
        <v>2714</v>
      </c>
      <c r="B14" s="321"/>
      <c r="C14" s="321"/>
      <c r="D14" s="164"/>
      <c r="E14" s="165"/>
      <c r="F14" s="319"/>
      <c r="G14" s="320"/>
      <c r="H14" s="320"/>
      <c r="I14" s="156"/>
      <c r="J14" s="327" t="s">
        <v>2100</v>
      </c>
      <c r="K14" s="328"/>
      <c r="L14" s="328"/>
      <c r="M14" s="328"/>
      <c r="N14" s="328"/>
      <c r="P14" s="54" t="s">
        <v>2718</v>
      </c>
      <c r="Q14" s="55">
        <f>INT(VALUE(C27))/100</f>
        <v>262111065.48</v>
      </c>
    </row>
    <row r="15" spans="1:17" ht="19.5" customHeight="1">
      <c r="A15" s="324">
        <f>Skriveni!B59</f>
        <v>582364621.63</v>
      </c>
      <c r="B15" s="325"/>
      <c r="C15" s="326"/>
      <c r="D15" s="60"/>
      <c r="E15" s="60"/>
      <c r="F15" s="60"/>
      <c r="G15" s="60"/>
      <c r="H15" s="60"/>
      <c r="I15" s="60"/>
      <c r="J15" s="60"/>
      <c r="K15" s="60"/>
      <c r="L15" s="60"/>
      <c r="M15" s="60"/>
      <c r="N15" s="60"/>
      <c r="P15" s="54" t="s">
        <v>1817</v>
      </c>
      <c r="Q15" s="55">
        <f>LEN(Skriveni!B9)</f>
        <v>38</v>
      </c>
    </row>
    <row r="16" spans="4:17" ht="12.75" customHeight="1">
      <c r="D16" s="60"/>
      <c r="E16" s="60"/>
      <c r="F16" s="60"/>
      <c r="G16" s="60"/>
      <c r="H16" s="60"/>
      <c r="I16" s="60"/>
      <c r="P16" s="54" t="s">
        <v>1818</v>
      </c>
      <c r="Q16" s="55">
        <f>INT(VALUE(C31))/100</f>
        <v>473</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23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297</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4110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47300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297</v>
      </c>
      <c r="D39" s="348" t="str">
        <f>IF(C39="","Šifra grada/općine nije upisana",IF(ISNA(LOOKUP(C39,A177:A732,A177:A732)),"Šifra grada/općine ne postoji",IF(LOOKUP(C39,A177:A732,A177:A732)&lt;&gt;C39,"Šifra grada/općine ne postoji",LOOKUP(C39,A177:A732,B177:B732))))</f>
        <v>Ogulin</v>
      </c>
      <c r="E39" s="349"/>
      <c r="F39" s="349"/>
      <c r="G39" s="349"/>
      <c r="H39" s="272" t="s">
        <v>2222</v>
      </c>
      <c r="I39" s="344"/>
      <c r="J39" s="58">
        <f>IF(C39&gt;0,LOOKUP(C39,A177:A732,C177:C732),"")</f>
        <v>4</v>
      </c>
      <c r="K39" s="351" t="str">
        <f>IF(J39="","Treba prvo upisati šifru grada/općine",LOOKUP(J39,A153:A173,B153:B173))</f>
        <v>KARLOVAČKA</v>
      </c>
      <c r="L39" s="351"/>
      <c r="M39" s="351"/>
      <c r="N39" s="351"/>
      <c r="P39" s="54" t="s">
        <v>1826</v>
      </c>
      <c r="Q39" s="55">
        <f>C56+2*F56+3*C58+4*F58</f>
        <v>503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627</v>
      </c>
      <c r="D42" s="353" t="str">
        <f>IF(C42="","Šifra NKD-a nije upisana",IF(ISNA(LOOKUP(C42,A736:A1351,A736:A1351)),"Šifra NKD-a ne postoji",IF(LOOKUP(C42,A736:A1351,A736:A1351)&lt;&gt;C42,"Šifra NKD-a ne postoji",LOOKUP(C42,A736:A1351,B736:B1351))))</f>
        <v>Organizacija izvedbe projekata za zgrade</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50</v>
      </c>
      <c r="D56" s="270" t="s">
        <v>2898</v>
      </c>
      <c r="E56" s="380"/>
      <c r="F56" s="44">
        <v>53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49</v>
      </c>
      <c r="D58" s="278" t="s">
        <v>2898</v>
      </c>
      <c r="E58" s="278"/>
      <c r="F58" s="44">
        <v>50</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94"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B1" sqref="B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31.12.2018.</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26211106548; STAMBENO KOMUNALNO GOSPODARSTVO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2944652</v>
      </c>
      <c r="J10" s="70">
        <f>J11+J18+J28+J39+J44</f>
        <v>2721104</v>
      </c>
    </row>
    <row r="11" spans="1:10" ht="13.5" customHeight="1">
      <c r="A11" s="384" t="s">
        <v>1850</v>
      </c>
      <c r="B11" s="384"/>
      <c r="C11" s="384"/>
      <c r="D11" s="384"/>
      <c r="E11" s="384"/>
      <c r="F11" s="384"/>
      <c r="G11" s="19">
        <v>3</v>
      </c>
      <c r="H11" s="20"/>
      <c r="I11" s="70">
        <f>SUM(I12:I17)</f>
        <v>27765</v>
      </c>
      <c r="J11" s="70">
        <f>SUM(J12:J17)</f>
        <v>31940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27765</v>
      </c>
      <c r="J13" s="71">
        <v>31940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2884579</v>
      </c>
      <c r="J18" s="70">
        <f>SUM(J19:J27)</f>
        <v>2663198</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2513645</v>
      </c>
      <c r="J20" s="71">
        <v>2272844</v>
      </c>
    </row>
    <row r="21" spans="1:10" ht="13.5" customHeight="1">
      <c r="A21" s="383" t="s">
        <v>2177</v>
      </c>
      <c r="B21" s="383"/>
      <c r="C21" s="383"/>
      <c r="D21" s="383"/>
      <c r="E21" s="383"/>
      <c r="F21" s="383"/>
      <c r="G21" s="19">
        <v>13</v>
      </c>
      <c r="H21" s="20"/>
      <c r="I21" s="71">
        <v>205889</v>
      </c>
      <c r="J21" s="71">
        <v>254986</v>
      </c>
    </row>
    <row r="22" spans="1:10" ht="13.5" customHeight="1">
      <c r="A22" s="383" t="s">
        <v>2290</v>
      </c>
      <c r="B22" s="383"/>
      <c r="C22" s="383"/>
      <c r="D22" s="383"/>
      <c r="E22" s="383"/>
      <c r="F22" s="383"/>
      <c r="G22" s="19">
        <v>14</v>
      </c>
      <c r="H22" s="20"/>
      <c r="I22" s="71">
        <v>165045</v>
      </c>
      <c r="J22" s="71">
        <v>135368</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3145</v>
      </c>
      <c r="J28" s="70">
        <f>SUM(J29:J38)</f>
        <v>3145</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v>876</v>
      </c>
      <c r="J35" s="71">
        <v>876</v>
      </c>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v>2269</v>
      </c>
      <c r="J38" s="71">
        <v>2269</v>
      </c>
    </row>
    <row r="39" spans="1:10" ht="13.5" customHeight="1">
      <c r="A39" s="384" t="s">
        <v>2645</v>
      </c>
      <c r="B39" s="384"/>
      <c r="C39" s="384"/>
      <c r="D39" s="384"/>
      <c r="E39" s="384"/>
      <c r="F39" s="384"/>
      <c r="G39" s="19">
        <v>31</v>
      </c>
      <c r="H39" s="20"/>
      <c r="I39" s="70">
        <f>SUM(I40:I43)</f>
        <v>29163</v>
      </c>
      <c r="J39" s="70">
        <f>SUM(J40:J43)</f>
        <v>22821</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v>29163</v>
      </c>
      <c r="J43" s="71">
        <v>22821</v>
      </c>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2562056</v>
      </c>
      <c r="J45" s="70">
        <f>J46+J54+J61+J71</f>
        <v>2732743</v>
      </c>
    </row>
    <row r="46" spans="1:10" ht="13.5" customHeight="1">
      <c r="A46" s="384" t="s">
        <v>2647</v>
      </c>
      <c r="B46" s="384"/>
      <c r="C46" s="384"/>
      <c r="D46" s="384"/>
      <c r="E46" s="384"/>
      <c r="F46" s="384"/>
      <c r="G46" s="19">
        <v>38</v>
      </c>
      <c r="H46" s="20"/>
      <c r="I46" s="70">
        <f>SUM(I47:I53)</f>
        <v>163728</v>
      </c>
      <c r="J46" s="70">
        <f>SUM(J47:J53)</f>
        <v>141447</v>
      </c>
    </row>
    <row r="47" spans="1:10" ht="13.5" customHeight="1">
      <c r="A47" s="383" t="s">
        <v>970</v>
      </c>
      <c r="B47" s="383"/>
      <c r="C47" s="383"/>
      <c r="D47" s="383"/>
      <c r="E47" s="383"/>
      <c r="F47" s="383"/>
      <c r="G47" s="19">
        <v>39</v>
      </c>
      <c r="H47" s="20"/>
      <c r="I47" s="71">
        <v>126422</v>
      </c>
      <c r="J47" s="71">
        <v>109619</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37306</v>
      </c>
      <c r="J50" s="71">
        <v>31828</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2211275</v>
      </c>
      <c r="J54" s="70">
        <f>SUM(J55:J60)</f>
        <v>2308918</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2187552</v>
      </c>
      <c r="J57" s="71">
        <v>2300570</v>
      </c>
    </row>
    <row r="58" spans="1:10" ht="13.5" customHeight="1">
      <c r="A58" s="383" t="s">
        <v>350</v>
      </c>
      <c r="B58" s="383"/>
      <c r="C58" s="383"/>
      <c r="D58" s="383"/>
      <c r="E58" s="383"/>
      <c r="F58" s="383"/>
      <c r="G58" s="19">
        <v>50</v>
      </c>
      <c r="H58" s="20"/>
      <c r="I58" s="71">
        <v>8270</v>
      </c>
      <c r="J58" s="71"/>
    </row>
    <row r="59" spans="1:10" ht="13.5" customHeight="1">
      <c r="A59" s="383" t="s">
        <v>351</v>
      </c>
      <c r="B59" s="383"/>
      <c r="C59" s="383"/>
      <c r="D59" s="383"/>
      <c r="E59" s="383"/>
      <c r="F59" s="383"/>
      <c r="G59" s="19">
        <v>51</v>
      </c>
      <c r="H59" s="20"/>
      <c r="I59" s="71">
        <v>8153</v>
      </c>
      <c r="J59" s="71">
        <v>312</v>
      </c>
    </row>
    <row r="60" spans="1:10" ht="13.5" customHeight="1">
      <c r="A60" s="383" t="s">
        <v>2638</v>
      </c>
      <c r="B60" s="383"/>
      <c r="C60" s="383"/>
      <c r="D60" s="383"/>
      <c r="E60" s="383"/>
      <c r="F60" s="383"/>
      <c r="G60" s="19">
        <v>52</v>
      </c>
      <c r="H60" s="20"/>
      <c r="I60" s="71">
        <v>7300</v>
      </c>
      <c r="J60" s="71">
        <v>8036</v>
      </c>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187053</v>
      </c>
      <c r="J71" s="71">
        <v>282378</v>
      </c>
    </row>
    <row r="72" spans="1:10" ht="24.75" customHeight="1">
      <c r="A72" s="381" t="s">
        <v>1558</v>
      </c>
      <c r="B72" s="381"/>
      <c r="C72" s="381"/>
      <c r="D72" s="381"/>
      <c r="E72" s="381"/>
      <c r="F72" s="381"/>
      <c r="G72" s="19">
        <v>64</v>
      </c>
      <c r="H72" s="20"/>
      <c r="I72" s="71"/>
      <c r="J72" s="71">
        <v>20243</v>
      </c>
    </row>
    <row r="73" spans="1:10" ht="13.5" customHeight="1">
      <c r="A73" s="381" t="s">
        <v>2650</v>
      </c>
      <c r="B73" s="381"/>
      <c r="C73" s="381"/>
      <c r="D73" s="381"/>
      <c r="E73" s="381"/>
      <c r="F73" s="381"/>
      <c r="G73" s="19">
        <v>65</v>
      </c>
      <c r="H73" s="20"/>
      <c r="I73" s="70">
        <f>I9+I10+I45+I72</f>
        <v>5506708</v>
      </c>
      <c r="J73" s="70">
        <f>J9+J10+J45+J72</f>
        <v>5474090</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3133068</v>
      </c>
      <c r="J76" s="70">
        <f>J77+J78+J79+J85+J86+J90+J93+J96</f>
        <v>3379093</v>
      </c>
      <c r="L76" s="2" t="s">
        <v>2591</v>
      </c>
    </row>
    <row r="77" spans="1:10" ht="13.5" customHeight="1">
      <c r="A77" s="384" t="s">
        <v>935</v>
      </c>
      <c r="B77" s="384"/>
      <c r="C77" s="384"/>
      <c r="D77" s="384"/>
      <c r="E77" s="384"/>
      <c r="F77" s="384"/>
      <c r="G77" s="19">
        <v>68</v>
      </c>
      <c r="H77" s="20"/>
      <c r="I77" s="71">
        <v>642600</v>
      </c>
      <c r="J77" s="71">
        <v>642600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81</v>
      </c>
      <c r="J79" s="70">
        <f>J80+J81-J82+J83+J84</f>
        <v>81</v>
      </c>
      <c r="L79" s="2" t="s">
        <v>2591</v>
      </c>
    </row>
    <row r="80" spans="1:10" ht="13.5" customHeight="1">
      <c r="A80" s="383" t="s">
        <v>2641</v>
      </c>
      <c r="B80" s="383"/>
      <c r="C80" s="383"/>
      <c r="D80" s="383"/>
      <c r="E80" s="383"/>
      <c r="F80" s="383"/>
      <c r="G80" s="19">
        <v>71</v>
      </c>
      <c r="H80" s="20"/>
      <c r="I80" s="71">
        <v>81</v>
      </c>
      <c r="J80" s="71">
        <v>81</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v>1054472</v>
      </c>
      <c r="J85" s="71">
        <v>1054472</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1331063</v>
      </c>
      <c r="J90" s="70">
        <f>J91-J92</f>
        <v>1435915</v>
      </c>
      <c r="L90" s="2" t="s">
        <v>2591</v>
      </c>
    </row>
    <row r="91" spans="1:10" ht="13.5" customHeight="1">
      <c r="A91" s="383" t="s">
        <v>1139</v>
      </c>
      <c r="B91" s="383"/>
      <c r="C91" s="383"/>
      <c r="D91" s="383"/>
      <c r="E91" s="383"/>
      <c r="F91" s="383"/>
      <c r="G91" s="19">
        <v>82</v>
      </c>
      <c r="H91" s="20"/>
      <c r="I91" s="71">
        <v>1331063</v>
      </c>
      <c r="J91" s="71">
        <v>1435915</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104852</v>
      </c>
      <c r="J93" s="70">
        <f>J94-J95</f>
        <v>246025</v>
      </c>
      <c r="L93" s="2" t="s">
        <v>2591</v>
      </c>
    </row>
    <row r="94" spans="1:10" ht="13.5" customHeight="1">
      <c r="A94" s="383" t="s">
        <v>2640</v>
      </c>
      <c r="B94" s="383"/>
      <c r="C94" s="383"/>
      <c r="D94" s="383"/>
      <c r="E94" s="383"/>
      <c r="F94" s="383"/>
      <c r="G94" s="19">
        <v>85</v>
      </c>
      <c r="H94" s="20"/>
      <c r="I94" s="71">
        <v>104852</v>
      </c>
      <c r="J94" s="71">
        <v>246025</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842932</v>
      </c>
      <c r="J104" s="70">
        <f>SUM(J105:J115)</f>
        <v>378745</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v>811499</v>
      </c>
      <c r="J110" s="71">
        <v>353655</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v>31433</v>
      </c>
      <c r="J114" s="71">
        <v>25090</v>
      </c>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1391701</v>
      </c>
      <c r="J116" s="70">
        <f>SUM(J117:J130)</f>
        <v>1577245</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863214</v>
      </c>
      <c r="J124" s="71">
        <v>1052288</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227761</v>
      </c>
      <c r="J126" s="71">
        <v>246196</v>
      </c>
    </row>
    <row r="127" spans="1:10" ht="13.5" customHeight="1">
      <c r="A127" s="383" t="s">
        <v>364</v>
      </c>
      <c r="B127" s="383"/>
      <c r="C127" s="383"/>
      <c r="D127" s="383"/>
      <c r="E127" s="383"/>
      <c r="F127" s="383"/>
      <c r="G127" s="19">
        <v>118</v>
      </c>
      <c r="H127" s="20"/>
      <c r="I127" s="71">
        <v>281372</v>
      </c>
      <c r="J127" s="71">
        <v>262834</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19354</v>
      </c>
      <c r="J130" s="71">
        <v>15927</v>
      </c>
    </row>
    <row r="131" spans="1:10" ht="24.75" customHeight="1">
      <c r="A131" s="381" t="s">
        <v>1560</v>
      </c>
      <c r="B131" s="381"/>
      <c r="C131" s="381"/>
      <c r="D131" s="381"/>
      <c r="E131" s="381"/>
      <c r="F131" s="381"/>
      <c r="G131" s="19">
        <v>122</v>
      </c>
      <c r="H131" s="20"/>
      <c r="I131" s="71">
        <v>139007</v>
      </c>
      <c r="J131" s="71">
        <v>139007</v>
      </c>
    </row>
    <row r="132" spans="1:10" ht="13.5" customHeight="1">
      <c r="A132" s="381" t="s">
        <v>2657</v>
      </c>
      <c r="B132" s="381"/>
      <c r="C132" s="381"/>
      <c r="D132" s="381"/>
      <c r="E132" s="381"/>
      <c r="F132" s="381"/>
      <c r="G132" s="19">
        <v>123</v>
      </c>
      <c r="H132" s="20"/>
      <c r="I132" s="70">
        <f>I76+I97+I104+I116+I131</f>
        <v>5506708</v>
      </c>
      <c r="J132" s="70">
        <f>J76+J97+J104+J116+J131</f>
        <v>5474090</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17"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01.01.2018. do 31.12.2018.</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26211106548; STAMBENO KOMUNALNO GOSPODARSTVO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7521726</v>
      </c>
      <c r="J8" s="84">
        <f>SUM(J9:J13)</f>
        <v>8533739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7335943</v>
      </c>
      <c r="J10" s="71">
        <v>8027830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185783</v>
      </c>
      <c r="J13" s="71">
        <v>505909</v>
      </c>
    </row>
    <row r="14" spans="1:10" s="2" customFormat="1" ht="13.5" customHeight="1">
      <c r="A14" s="381" t="s">
        <v>1837</v>
      </c>
      <c r="B14" s="381"/>
      <c r="C14" s="381"/>
      <c r="D14" s="381"/>
      <c r="E14" s="381"/>
      <c r="F14" s="381"/>
      <c r="G14" s="19">
        <v>131</v>
      </c>
      <c r="H14" s="20"/>
      <c r="I14" s="70">
        <f>I15+I16+I20+I24+I25+I26+I29+I36</f>
        <v>7375983</v>
      </c>
      <c r="J14" s="70">
        <f>J15+J16+J20+J24+J25+J26+J29+J36</f>
        <v>8216372</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1702271</v>
      </c>
      <c r="J16" s="70">
        <f>SUM(J17:J19)</f>
        <v>2269387</v>
      </c>
    </row>
    <row r="17" spans="1:10" s="2" customFormat="1" ht="13.5" customHeight="1">
      <c r="A17" s="409" t="s">
        <v>504</v>
      </c>
      <c r="B17" s="409"/>
      <c r="C17" s="409"/>
      <c r="D17" s="409"/>
      <c r="E17" s="409"/>
      <c r="F17" s="409"/>
      <c r="G17" s="19">
        <v>134</v>
      </c>
      <c r="H17" s="20"/>
      <c r="I17" s="71">
        <v>959203</v>
      </c>
      <c r="J17" s="71">
        <v>1300964</v>
      </c>
    </row>
    <row r="18" spans="1:10" s="2" customFormat="1" ht="13.5" customHeight="1">
      <c r="A18" s="409" t="s">
        <v>505</v>
      </c>
      <c r="B18" s="409"/>
      <c r="C18" s="409"/>
      <c r="D18" s="409"/>
      <c r="E18" s="409"/>
      <c r="F18" s="409"/>
      <c r="G18" s="19">
        <v>135</v>
      </c>
      <c r="H18" s="20"/>
      <c r="I18" s="71">
        <v>140958</v>
      </c>
      <c r="J18" s="71">
        <v>148429</v>
      </c>
    </row>
    <row r="19" spans="1:10" s="2" customFormat="1" ht="13.5" customHeight="1">
      <c r="A19" s="409" t="s">
        <v>1426</v>
      </c>
      <c r="B19" s="409"/>
      <c r="C19" s="409"/>
      <c r="D19" s="409"/>
      <c r="E19" s="409"/>
      <c r="F19" s="409"/>
      <c r="G19" s="19">
        <v>136</v>
      </c>
      <c r="H19" s="20"/>
      <c r="I19" s="71">
        <v>602110</v>
      </c>
      <c r="J19" s="71">
        <v>819994</v>
      </c>
    </row>
    <row r="20" spans="1:10" s="2" customFormat="1" ht="13.5" customHeight="1">
      <c r="A20" s="383" t="s">
        <v>1839</v>
      </c>
      <c r="B20" s="383"/>
      <c r="C20" s="383"/>
      <c r="D20" s="383"/>
      <c r="E20" s="383"/>
      <c r="F20" s="383"/>
      <c r="G20" s="19">
        <v>137</v>
      </c>
      <c r="H20" s="20"/>
      <c r="I20" s="70">
        <f>SUM(I21:I23)</f>
        <v>4173256</v>
      </c>
      <c r="J20" s="70">
        <f>SUM(J21:J23)</f>
        <v>4354834</v>
      </c>
    </row>
    <row r="21" spans="1:10" s="2" customFormat="1" ht="13.5" customHeight="1">
      <c r="A21" s="409" t="s">
        <v>724</v>
      </c>
      <c r="B21" s="409"/>
      <c r="C21" s="409"/>
      <c r="D21" s="409"/>
      <c r="E21" s="409"/>
      <c r="F21" s="409"/>
      <c r="G21" s="19">
        <v>138</v>
      </c>
      <c r="H21" s="20"/>
      <c r="I21" s="71">
        <v>2719641</v>
      </c>
      <c r="J21" s="71">
        <v>2834388</v>
      </c>
    </row>
    <row r="22" spans="1:10" s="2" customFormat="1" ht="13.5" customHeight="1">
      <c r="A22" s="409" t="s">
        <v>961</v>
      </c>
      <c r="B22" s="409"/>
      <c r="C22" s="409"/>
      <c r="D22" s="409"/>
      <c r="E22" s="409"/>
      <c r="F22" s="409"/>
      <c r="G22" s="19">
        <v>139</v>
      </c>
      <c r="H22" s="20"/>
      <c r="I22" s="71">
        <v>841112</v>
      </c>
      <c r="J22" s="71">
        <v>881341</v>
      </c>
    </row>
    <row r="23" spans="1:10" s="2" customFormat="1" ht="13.5" customHeight="1">
      <c r="A23" s="409" t="s">
        <v>962</v>
      </c>
      <c r="B23" s="409"/>
      <c r="C23" s="409"/>
      <c r="D23" s="409"/>
      <c r="E23" s="409"/>
      <c r="F23" s="409"/>
      <c r="G23" s="19">
        <v>140</v>
      </c>
      <c r="H23" s="20"/>
      <c r="I23" s="71">
        <v>612503</v>
      </c>
      <c r="J23" s="71">
        <v>639105</v>
      </c>
    </row>
    <row r="24" spans="1:10" s="2" customFormat="1" ht="13.5" customHeight="1">
      <c r="A24" s="383" t="s">
        <v>259</v>
      </c>
      <c r="B24" s="383"/>
      <c r="C24" s="383"/>
      <c r="D24" s="383"/>
      <c r="E24" s="383"/>
      <c r="F24" s="383"/>
      <c r="G24" s="19">
        <v>141</v>
      </c>
      <c r="H24" s="20"/>
      <c r="I24" s="71">
        <v>389117</v>
      </c>
      <c r="J24" s="71">
        <v>388538</v>
      </c>
    </row>
    <row r="25" spans="1:10" s="2" customFormat="1" ht="13.5" customHeight="1">
      <c r="A25" s="383" t="s">
        <v>260</v>
      </c>
      <c r="B25" s="383"/>
      <c r="C25" s="383"/>
      <c r="D25" s="383"/>
      <c r="E25" s="383"/>
      <c r="F25" s="383"/>
      <c r="G25" s="19">
        <v>142</v>
      </c>
      <c r="H25" s="20"/>
      <c r="I25" s="71">
        <v>928993</v>
      </c>
      <c r="J25" s="71">
        <v>1016710</v>
      </c>
    </row>
    <row r="26" spans="1:12" s="2" customFormat="1" ht="13.5" customHeight="1">
      <c r="A26" s="383" t="s">
        <v>1840</v>
      </c>
      <c r="B26" s="383"/>
      <c r="C26" s="383"/>
      <c r="D26" s="383"/>
      <c r="E26" s="383"/>
      <c r="F26" s="383"/>
      <c r="G26" s="19">
        <v>143</v>
      </c>
      <c r="H26" s="20"/>
      <c r="I26" s="70">
        <f>SUM(I27:I28)</f>
        <v>0</v>
      </c>
      <c r="J26" s="70">
        <f>SUM(J27:J28)</f>
        <v>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c r="J28" s="71"/>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182346</v>
      </c>
      <c r="J36" s="71">
        <v>186903</v>
      </c>
    </row>
    <row r="37" spans="1:10" s="2" customFormat="1" ht="13.5" customHeight="1">
      <c r="A37" s="381" t="s">
        <v>1842</v>
      </c>
      <c r="B37" s="381"/>
      <c r="C37" s="381"/>
      <c r="D37" s="381"/>
      <c r="E37" s="381"/>
      <c r="F37" s="381"/>
      <c r="G37" s="19">
        <v>154</v>
      </c>
      <c r="H37" s="20"/>
      <c r="I37" s="70">
        <f>SUM(I38:I47)</f>
        <v>28984</v>
      </c>
      <c r="J37" s="70">
        <f>SUM(J38:J47)</f>
        <v>31390</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11803</v>
      </c>
      <c r="J44" s="71">
        <v>12375</v>
      </c>
    </row>
    <row r="45" spans="1:10" s="2" customFormat="1" ht="13.5" customHeight="1">
      <c r="A45" s="383" t="s">
        <v>1428</v>
      </c>
      <c r="B45" s="383"/>
      <c r="C45" s="383"/>
      <c r="D45" s="383"/>
      <c r="E45" s="383"/>
      <c r="F45" s="383"/>
      <c r="G45" s="19">
        <v>162</v>
      </c>
      <c r="H45" s="20"/>
      <c r="I45" s="71">
        <v>17181</v>
      </c>
      <c r="J45" s="71">
        <v>19015</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35910</v>
      </c>
      <c r="J48" s="70">
        <f>SUM(J49:J55)</f>
        <v>22389</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35910</v>
      </c>
      <c r="J51" s="71">
        <v>22389</v>
      </c>
    </row>
    <row r="52" spans="1:10" s="2" customFormat="1" ht="13.5" customHeight="1">
      <c r="A52" s="403" t="s">
        <v>1439</v>
      </c>
      <c r="B52" s="403"/>
      <c r="C52" s="403"/>
      <c r="D52" s="403"/>
      <c r="E52" s="403"/>
      <c r="F52" s="403"/>
      <c r="G52" s="19">
        <v>169</v>
      </c>
      <c r="H52" s="20"/>
      <c r="I52" s="71"/>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7550710</v>
      </c>
      <c r="J60" s="70">
        <f>J8+J37+J56+J57</f>
        <v>8565129</v>
      </c>
    </row>
    <row r="61" spans="1:10" s="2" customFormat="1" ht="13.5" customHeight="1">
      <c r="A61" s="381" t="s">
        <v>1845</v>
      </c>
      <c r="B61" s="381"/>
      <c r="C61" s="381"/>
      <c r="D61" s="381"/>
      <c r="E61" s="381"/>
      <c r="F61" s="381"/>
      <c r="G61" s="19">
        <v>178</v>
      </c>
      <c r="H61" s="20"/>
      <c r="I61" s="70">
        <f>I14+I48+I58+I59</f>
        <v>7411893</v>
      </c>
      <c r="J61" s="70">
        <f>J14+J48+J58+J59</f>
        <v>8238761</v>
      </c>
    </row>
    <row r="62" spans="1:12" s="2" customFormat="1" ht="13.5" customHeight="1">
      <c r="A62" s="381" t="s">
        <v>2581</v>
      </c>
      <c r="B62" s="381"/>
      <c r="C62" s="381"/>
      <c r="D62" s="381"/>
      <c r="E62" s="381"/>
      <c r="F62" s="381"/>
      <c r="G62" s="19">
        <v>179</v>
      </c>
      <c r="H62" s="20"/>
      <c r="I62" s="70">
        <f>I60-I61</f>
        <v>138817</v>
      </c>
      <c r="J62" s="70">
        <f>J60-J61</f>
        <v>326368</v>
      </c>
      <c r="L62" s="2" t="s">
        <v>2591</v>
      </c>
    </row>
    <row r="63" spans="1:10" s="2" customFormat="1" ht="13.5" customHeight="1">
      <c r="A63" s="403" t="s">
        <v>2658</v>
      </c>
      <c r="B63" s="403"/>
      <c r="C63" s="403"/>
      <c r="D63" s="403"/>
      <c r="E63" s="403"/>
      <c r="F63" s="403"/>
      <c r="G63" s="19">
        <v>180</v>
      </c>
      <c r="H63" s="20"/>
      <c r="I63" s="70">
        <f>IF(I60&gt;I61,I60-I61,0)</f>
        <v>138817</v>
      </c>
      <c r="J63" s="70">
        <f>IF(J60&gt;J61,J60-J61,0)</f>
        <v>326368</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33965</v>
      </c>
      <c r="J65" s="71">
        <v>80343</v>
      </c>
      <c r="L65" s="2" t="s">
        <v>2591</v>
      </c>
    </row>
    <row r="66" spans="1:12" s="2" customFormat="1" ht="13.5" customHeight="1">
      <c r="A66" s="381" t="s">
        <v>2582</v>
      </c>
      <c r="B66" s="381"/>
      <c r="C66" s="381"/>
      <c r="D66" s="381"/>
      <c r="E66" s="381"/>
      <c r="F66" s="381"/>
      <c r="G66" s="19">
        <v>183</v>
      </c>
      <c r="H66" s="20"/>
      <c r="I66" s="70">
        <f>I62-I65</f>
        <v>104852</v>
      </c>
      <c r="J66" s="70">
        <f>J62-J65</f>
        <v>246025</v>
      </c>
      <c r="L66" s="2" t="s">
        <v>2591</v>
      </c>
    </row>
    <row r="67" spans="1:10" s="2" customFormat="1" ht="13.5" customHeight="1">
      <c r="A67" s="403" t="s">
        <v>779</v>
      </c>
      <c r="B67" s="403"/>
      <c r="C67" s="403"/>
      <c r="D67" s="403"/>
      <c r="E67" s="403"/>
      <c r="F67" s="403"/>
      <c r="G67" s="19">
        <v>184</v>
      </c>
      <c r="H67" s="20"/>
      <c r="I67" s="70">
        <f>IF(I66&gt;0,I66,0)</f>
        <v>104852</v>
      </c>
      <c r="J67" s="70">
        <f>IF(J66&gt;0,J66,0)</f>
        <v>246025</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B1" sqref="B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01.01.2018. do 31.12.2018.</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26211106548; STAMBENO KOMUNALNO GOSPODARSTVO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26211106548; STAMBENO KOMUNALNO GOSPODARSTVO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E1" sqref="E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01.01.2018. do 31.12.2018.</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26211106548; STAMBENO KOMUNALNO GOSPODARSTVO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H1" sqref="H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01.01.2018. do 31.12.2018.</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26211106548; STAMBENO KOMUNALNO GOSPODARSTVO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Maja</cp:lastModifiedBy>
  <cp:lastPrinted>2018-04-20T11:04:59Z</cp:lastPrinted>
  <dcterms:created xsi:type="dcterms:W3CDTF">2008-10-17T11:51:54Z</dcterms:created>
  <dcterms:modified xsi:type="dcterms:W3CDTF">2019-07-03T07:21:19Z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